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735" activeTab="0"/>
  </bookViews>
  <sheets>
    <sheet name="Data" sheetId="1" r:id="rId1"/>
    <sheet name="Salary" sheetId="2" r:id="rId2"/>
    <sheet name="procgs" sheetId="3" r:id="rId3"/>
    <sheet name="option" sheetId="4" r:id="rId4"/>
    <sheet name="appendix" sheetId="5" r:id="rId5"/>
    <sheet name="Annexure" sheetId="6" r:id="rId6"/>
    <sheet name="FORM47" sheetId="7" r:id="rId7"/>
    <sheet name="Form101" sheetId="8" r:id="rId8"/>
    <sheet name="PaperToken" sheetId="9" r:id="rId9"/>
    <sheet name="PF-CPS" sheetId="10" r:id="rId10"/>
    <sheet name="FORM49" sheetId="11" r:id="rId11"/>
    <sheet name="words" sheetId="12" state="hidden" r:id="rId12"/>
  </sheets>
  <definedNames>
    <definedName name="_xlfn.IFERROR" hidden="1">#NAME?</definedName>
    <definedName name="after">VLOOKUP('Data'!E65531,'Data'!$AU$54:$AW$115,3,0)</definedName>
    <definedName name="before">VLOOKUP('Data'!F65531,'Data'!$AU$54:$AW$115,2,0)</definedName>
    <definedName name="days">'Data'!$AF$55:$AF$85</definedName>
    <definedName name="FirstBasic">VLOOKUP('Data'!G3,'Data'!$AU$54:$AW$115,2,0)</definedName>
    <definedName name="newpay">'Data'!$AY$54:$BA$117</definedName>
    <definedName name="newscales">'Data'!$AC$79:$AC$84</definedName>
    <definedName name="oldpay">'Data'!$AU$54:$AW$117</definedName>
    <definedName name="oldscales">'Data'!$AA$79:$AA$84</definedName>
    <definedName name="_xlnm.Print_Area" localSheetId="5">'Annexure'!$A$1:$E$34</definedName>
    <definedName name="_xlnm.Print_Area" localSheetId="4">'appendix'!$A$1:$V$86</definedName>
    <definedName name="_xlnm.Print_Area" localSheetId="7">'Form101'!$A$1:$I$40</definedName>
    <definedName name="_xlnm.Print_Area" localSheetId="6">'FORM47'!$A$1:$S$110</definedName>
    <definedName name="_xlnm.Print_Area" localSheetId="10">'FORM49'!$A$1:$N$17</definedName>
    <definedName name="_xlnm.Print_Area" localSheetId="8">'PaperToken'!$A$1:$T$37</definedName>
    <definedName name="_xlnm.Print_Area" localSheetId="9">'PF-CPS'!$A$1:$I$15</definedName>
    <definedName name="_xlnm.Print_Area" localSheetId="1">'Salary'!$A$4:$AP$53</definedName>
    <definedName name="salinfo">'Data'!$Y$129:$AR$158</definedName>
    <definedName name="words">'words'!$A$2:$B$100</definedName>
    <definedName name="Z_677CF070_8099_4860_98C9_F4BFD2AA422F_.wvu.Cols" localSheetId="0" hidden="1">'Data'!$A:$B,'Data'!$AX:$AX,'Data'!$BB:$BB,'Data'!$BE:$BE,'Data'!$BI:$CQ</definedName>
    <definedName name="Z_677CF070_8099_4860_98C9_F4BFD2AA422F_.wvu.Cols" localSheetId="6" hidden="1">'FORM47'!$Y:$Z</definedName>
    <definedName name="Z_677CF070_8099_4860_98C9_F4BFD2AA422F_.wvu.Cols" localSheetId="9" hidden="1">'PF-CPS'!$H:$H</definedName>
    <definedName name="Z_677CF070_8099_4860_98C9_F4BFD2AA422F_.wvu.Cols" localSheetId="2" hidden="1">'procgs'!$AA:$AF</definedName>
    <definedName name="Z_677CF070_8099_4860_98C9_F4BFD2AA422F_.wvu.Cols" localSheetId="1" hidden="1">'Salary'!$F:$F,'Salary'!$R:$R</definedName>
    <definedName name="Z_677CF070_8099_4860_98C9_F4BFD2AA422F_.wvu.PrintArea" localSheetId="5" hidden="1">'Annexure'!$A$1:$E$34</definedName>
    <definedName name="Z_677CF070_8099_4860_98C9_F4BFD2AA422F_.wvu.PrintArea" localSheetId="4" hidden="1">'appendix'!$A$1:$V$86</definedName>
    <definedName name="Z_677CF070_8099_4860_98C9_F4BFD2AA422F_.wvu.PrintArea" localSheetId="7" hidden="1">'Form101'!$A$1:$I$40</definedName>
    <definedName name="Z_677CF070_8099_4860_98C9_F4BFD2AA422F_.wvu.PrintArea" localSheetId="6" hidden="1">'FORM47'!$A$1:$S$110</definedName>
    <definedName name="Z_677CF070_8099_4860_98C9_F4BFD2AA422F_.wvu.PrintArea" localSheetId="10" hidden="1">'FORM49'!$A$1:$N$17</definedName>
    <definedName name="Z_677CF070_8099_4860_98C9_F4BFD2AA422F_.wvu.PrintArea" localSheetId="8" hidden="1">'PaperToken'!$A$1:$T$37</definedName>
    <definedName name="Z_677CF070_8099_4860_98C9_F4BFD2AA422F_.wvu.PrintArea" localSheetId="9" hidden="1">'PF-CPS'!$A$1:$I$15</definedName>
    <definedName name="Z_677CF070_8099_4860_98C9_F4BFD2AA422F_.wvu.PrintArea" localSheetId="1" hidden="1">'Salary'!$A$4:$AP$53</definedName>
    <definedName name="Z_677CF070_8099_4860_98C9_F4BFD2AA422F_.wvu.Rows" localSheetId="4" hidden="1">'appendix'!$22:$23,'appendix'!$34:$35</definedName>
    <definedName name="Z_677CF070_8099_4860_98C9_F4BFD2AA422F_.wvu.Rows" localSheetId="0" hidden="1">'Data'!$1:$1,'Data'!$4:$4,'Data'!$27:$45,'Data'!$51:$300</definedName>
    <definedName name="Z_677CF070_8099_4860_98C9_F4BFD2AA422F_.wvu.Rows" localSheetId="6" hidden="1">'FORM47'!$59:$59</definedName>
    <definedName name="Z_677CF070_8099_4860_98C9_F4BFD2AA422F_.wvu.Rows" localSheetId="1" hidden="1">'Salary'!$20:$22,'Salary'!$34:$35,'Salary'!$41:$46</definedName>
    <definedName name="Z_693D10A6_EC20_4447_9B3E_C661BE3BCF3B_.wvu.Cols" localSheetId="0" hidden="1">'Data'!$A:$B,'Data'!$AX:$AX,'Data'!$BB:$BB,'Data'!$BE:$BE,'Data'!$BI:$CQ</definedName>
    <definedName name="Z_693D10A6_EC20_4447_9B3E_C661BE3BCF3B_.wvu.Cols" localSheetId="6" hidden="1">'FORM47'!$Y:$Z</definedName>
    <definedName name="Z_693D10A6_EC20_4447_9B3E_C661BE3BCF3B_.wvu.Cols" localSheetId="9" hidden="1">'PF-CPS'!$H:$H</definedName>
    <definedName name="Z_693D10A6_EC20_4447_9B3E_C661BE3BCF3B_.wvu.Cols" localSheetId="2" hidden="1">'procgs'!$AA:$AF</definedName>
    <definedName name="Z_693D10A6_EC20_4447_9B3E_C661BE3BCF3B_.wvu.Cols" localSheetId="1" hidden="1">'Salary'!$F:$F,'Salary'!$R:$R</definedName>
    <definedName name="Z_693D10A6_EC20_4447_9B3E_C661BE3BCF3B_.wvu.PrintArea" localSheetId="5" hidden="1">'Annexure'!$A$1:$E$34</definedName>
    <definedName name="Z_693D10A6_EC20_4447_9B3E_C661BE3BCF3B_.wvu.PrintArea" localSheetId="4" hidden="1">'appendix'!$A$1:$V$86</definedName>
    <definedName name="Z_693D10A6_EC20_4447_9B3E_C661BE3BCF3B_.wvu.PrintArea" localSheetId="7" hidden="1">'Form101'!$A$1:$I$40</definedName>
    <definedName name="Z_693D10A6_EC20_4447_9B3E_C661BE3BCF3B_.wvu.PrintArea" localSheetId="6" hidden="1">'FORM47'!$A$1:$S$110</definedName>
    <definedName name="Z_693D10A6_EC20_4447_9B3E_C661BE3BCF3B_.wvu.PrintArea" localSheetId="10" hidden="1">'FORM49'!$A$1:$N$17</definedName>
    <definedName name="Z_693D10A6_EC20_4447_9B3E_C661BE3BCF3B_.wvu.PrintArea" localSheetId="8" hidden="1">'PaperToken'!$A$1:$T$37</definedName>
    <definedName name="Z_693D10A6_EC20_4447_9B3E_C661BE3BCF3B_.wvu.PrintArea" localSheetId="9" hidden="1">'PF-CPS'!$A$1:$I$15</definedName>
    <definedName name="Z_693D10A6_EC20_4447_9B3E_C661BE3BCF3B_.wvu.PrintArea" localSheetId="1" hidden="1">'Salary'!$A$4:$AP$53</definedName>
    <definedName name="Z_693D10A6_EC20_4447_9B3E_C661BE3BCF3B_.wvu.Rows" localSheetId="4" hidden="1">'appendix'!$22:$23,'appendix'!$34:$35</definedName>
    <definedName name="Z_693D10A6_EC20_4447_9B3E_C661BE3BCF3B_.wvu.Rows" localSheetId="0" hidden="1">'Data'!$1:$1,'Data'!$4:$4,'Data'!$27:$45,'Data'!$51:$300</definedName>
    <definedName name="Z_693D10A6_EC20_4447_9B3E_C661BE3BCF3B_.wvu.Rows" localSheetId="6" hidden="1">'FORM47'!$59:$59</definedName>
    <definedName name="Z_693D10A6_EC20_4447_9B3E_C661BE3BCF3B_.wvu.Rows" localSheetId="1" hidden="1">'Salary'!$20:$22,'Salary'!$34:$35,'Salary'!$41:$46</definedName>
  </definedNames>
  <calcPr fullCalcOnLoad="1"/>
</workbook>
</file>

<file path=xl/comments1.xml><?xml version="1.0" encoding="utf-8"?>
<comments xmlns="http://schemas.openxmlformats.org/spreadsheetml/2006/main">
  <authors>
    <author>RENUKA</author>
    <author>seshadri</author>
  </authors>
  <commentList>
    <comment ref="BD51" authorId="0">
      <text>
        <r>
          <rPr>
            <sz val="11"/>
            <color indexed="8"/>
            <rFont val="Calibri"/>
            <family val="2"/>
          </rPr>
          <t>RENUKA:</t>
        </r>
        <r>
          <rPr>
            <sz val="11"/>
            <color theme="1"/>
            <rFont val="Calibri"/>
            <family val="2"/>
          </rPr>
          <t xml:space="preserve">
use this as surrender 1
</t>
        </r>
      </text>
    </comment>
    <comment ref="O6" authorId="1">
      <text>
        <r>
          <rPr>
            <sz val="11"/>
            <color indexed="8"/>
            <rFont val="Calibri"/>
            <family val="2"/>
          </rPr>
          <t>seshadri:</t>
        </r>
        <r>
          <rPr>
            <sz val="11"/>
            <color theme="1"/>
            <rFont val="Calibri"/>
            <family val="2"/>
          </rPr>
          <t xml:space="preserve">
If U got promotion after July 2013, then only, use this option or left with 'Not apllicable'
</t>
        </r>
      </text>
    </comment>
    <comment ref="N11" authorId="0">
      <text>
        <r>
          <rPr>
            <sz val="11"/>
            <color indexed="8"/>
            <rFont val="Calibri"/>
            <family val="2"/>
          </rPr>
          <t>RENUKA:</t>
        </r>
        <r>
          <rPr>
            <sz val="11"/>
            <color theme="1"/>
            <rFont val="Calibri"/>
            <family val="2"/>
          </rPr>
          <t xml:space="preserve">
ZPPF, CPS, GPF with Number 
</t>
        </r>
      </text>
    </comment>
    <comment ref="P11" authorId="0">
      <text>
        <r>
          <rPr>
            <sz val="11"/>
            <color indexed="8"/>
            <rFont val="Calibri"/>
            <family val="2"/>
          </rPr>
          <t>RENUKA:</t>
        </r>
        <r>
          <rPr>
            <sz val="11"/>
            <color theme="1"/>
            <rFont val="Calibri"/>
            <family val="2"/>
          </rPr>
          <t xml:space="preserve">
ZPPF, CPS, GPF with Number</t>
        </r>
      </text>
    </comment>
  </commentList>
</comments>
</file>

<file path=xl/sharedStrings.xml><?xml version="1.0" encoding="utf-8"?>
<sst xmlns="http://schemas.openxmlformats.org/spreadsheetml/2006/main" count="1050" uniqueCount="739">
  <si>
    <t>Name of Employee</t>
  </si>
  <si>
    <t xml:space="preserve">Designation </t>
  </si>
  <si>
    <t>SGT</t>
  </si>
  <si>
    <t>SA(Maths)</t>
  </si>
  <si>
    <t>SA(Eng)</t>
  </si>
  <si>
    <t>SA(PS)</t>
  </si>
  <si>
    <t>PET</t>
  </si>
  <si>
    <t>PD</t>
  </si>
  <si>
    <t>Headmaster</t>
  </si>
  <si>
    <t>Headmistress</t>
  </si>
  <si>
    <t>Mandal</t>
  </si>
  <si>
    <t>District</t>
  </si>
  <si>
    <t>Option Date</t>
  </si>
  <si>
    <t>optiondate</t>
  </si>
  <si>
    <t>Jun</t>
  </si>
  <si>
    <t>Jul</t>
  </si>
  <si>
    <t>Aug</t>
  </si>
  <si>
    <t>Sep</t>
  </si>
  <si>
    <t>Oct</t>
  </si>
  <si>
    <t>Nov</t>
  </si>
  <si>
    <t>Dec</t>
  </si>
  <si>
    <t>Jan</t>
  </si>
  <si>
    <t>Feb</t>
  </si>
  <si>
    <t>Mar</t>
  </si>
  <si>
    <t>Apr</t>
  </si>
  <si>
    <t>May</t>
  </si>
  <si>
    <t>G D Nellore</t>
  </si>
  <si>
    <t>Basic Pay as on Option Date</t>
  </si>
  <si>
    <t>10900-31550</t>
  </si>
  <si>
    <t>21230-63010</t>
  </si>
  <si>
    <t>11530-33200</t>
  </si>
  <si>
    <t>22460-66330</t>
  </si>
  <si>
    <t>14860-39540</t>
  </si>
  <si>
    <t>28940-78910</t>
  </si>
  <si>
    <t>15280-40510</t>
  </si>
  <si>
    <t>29760-80930</t>
  </si>
  <si>
    <t>18030-43630</t>
  </si>
  <si>
    <t>35120-87130</t>
  </si>
  <si>
    <t>19050-45850</t>
  </si>
  <si>
    <t>37100-91450</t>
  </si>
  <si>
    <t>10900-300-11200-330-12190-360- 13270-390-14440-420-15700-450- 17050-490-18520-530-20110-570- 21820-610-23650-650-25600-700- 27700-750-29950-800-31550 (40)</t>
  </si>
  <si>
    <t>11530-330-12190-360-13270-390- 14440-420-15700-450-17050-490- 18520-530-20110-570-21820-610- 23650-650-25600-700-27700-750- 29950 -800-32350-850-33200 (40)</t>
  </si>
  <si>
    <t>14860-420-15700-450-17050-490- 18520-530-20110-570-21820-610- 23650-650-25600-700-27700-750- 29950-800-32350-850-34900-900- 37600-970-39540 (38)</t>
  </si>
  <si>
    <t>15280-420-15700-450-17050-490- 18520-530-20110-570-21820-610- 23650-650-25600-700-27700-750- 29950-800-32350-850-34900-900- 37600-970-40510 (38)</t>
  </si>
  <si>
    <t>18030-490-18520-530-20110-570- 21820-610-23650-650-25600-700- 27700-750-29950-800-32350-850- 34900-900-37600-970-40510-1040- 43630 (35)</t>
  </si>
  <si>
    <t>19050-530-20110-570-21820-610- 23650-650-25600-700-27700-750- 29950-800-32350-850-34900-900- 37600-970-40510-1040-43630-1110- 45850 (35)</t>
  </si>
  <si>
    <t>21230-590-21820-640-23740-700- 25840-760-28120-820-30580-880- 33220-950-36070-1030-39160-1110- 42490-1190-46060-1270-49870- 1360-53950-1460-58330-1560- 63010(40)</t>
  </si>
  <si>
    <t>22460-640-23740-700-25840-760- 28120-820-30580-880-33220-950- 36070-1030-39160-1110-42490- 1190-46060-1270-49870-1360- 53950-1460-58330-1560-63010- 1660-66330 (40)</t>
  </si>
  <si>
    <t>28940-820-30580-880-33220-950- 36070-1030-39160-1110-42490- 1190-46060-1270-49870-1360- 53950-1460-58330-1560-63010- 1660-67990-1760-73270-1880-78910 (38)</t>
  </si>
  <si>
    <t>29760-820-30580-880-33220-950- 36070-1030-39160-1110-42490- 1190-46060-1270-49870-1360- 53950-1460-58330-1560-63010- 1660-67990-1760-73270-1880- 78910-2020-80930 (38)</t>
  </si>
  <si>
    <t>35120-950-36070-1030-39160-1110- 42490-1190-46060-1270-49870- 1360-53950-1460-58330-1560- 63010-1660-67990-1760-73270- 1880-78910-2020-84970–2160– 87130 (35)</t>
  </si>
  <si>
    <t>37100-1030-39160-1110-42490- 1190-46060-1270-49870-1360- 53950-1460-58330-1560-63010- 1660-67990-1760-73270-1880- 78910-2020-84970-2160-91450 (35)</t>
  </si>
  <si>
    <t>bapay</t>
  </si>
  <si>
    <t>option bpay</t>
  </si>
  <si>
    <t>HMA</t>
  </si>
  <si>
    <t>1step</t>
  </si>
  <si>
    <t>2step</t>
  </si>
  <si>
    <t>HRA</t>
  </si>
  <si>
    <t>Basic Pay Raised Due to</t>
  </si>
  <si>
    <t>Due to</t>
  </si>
  <si>
    <t>DAY</t>
  </si>
  <si>
    <t>old basic pays</t>
  </si>
  <si>
    <t>new basicpays</t>
  </si>
  <si>
    <t>bpay</t>
  </si>
  <si>
    <t>2ndstep</t>
  </si>
  <si>
    <t xml:space="preserve">                 FP</t>
  </si>
  <si>
    <t>DD</t>
  </si>
  <si>
    <t>MM-YYYY</t>
  </si>
  <si>
    <t>Option date</t>
  </si>
  <si>
    <t>No Change</t>
  </si>
  <si>
    <t>HRA Change %</t>
  </si>
  <si>
    <t>GPF Type</t>
  </si>
  <si>
    <t>ZPPF</t>
  </si>
  <si>
    <t>GPF</t>
  </si>
  <si>
    <t>CPS</t>
  </si>
  <si>
    <t>Clacc IV GPF</t>
  </si>
  <si>
    <t>Not Availed</t>
  </si>
  <si>
    <t>Surrender 1</t>
  </si>
  <si>
    <t>Sur1</t>
  </si>
  <si>
    <t>Sur2</t>
  </si>
  <si>
    <t xml:space="preserve">  Surrender 
   Leave I</t>
  </si>
  <si>
    <t>Increment</t>
  </si>
  <si>
    <t>Promotion FR22(B)</t>
  </si>
  <si>
    <t>Promotion FR22(a)i</t>
  </si>
  <si>
    <t>First change</t>
  </si>
  <si>
    <t>2nd Change</t>
  </si>
  <si>
    <t>AAS(6/12/18/24Years)</t>
  </si>
  <si>
    <t>FR22(a)I&amp; Incre</t>
  </si>
  <si>
    <t>3rd Change</t>
  </si>
  <si>
    <t>4th option</t>
  </si>
  <si>
    <t>2nd Surrender</t>
  </si>
  <si>
    <t>Month</t>
  </si>
  <si>
    <t>FIRST DROP DOWN</t>
  </si>
  <si>
    <t>2nd DROP DOWN</t>
  </si>
  <si>
    <t>3rd Drop Down</t>
  </si>
  <si>
    <t>4th Drop Down</t>
  </si>
  <si>
    <t>Fixation Calculation</t>
  </si>
  <si>
    <t>B Pay on option Date</t>
  </si>
  <si>
    <t>Dropdown1</t>
  </si>
  <si>
    <t>pay due</t>
  </si>
  <si>
    <t>Dropdown2</t>
  </si>
  <si>
    <t>Dropdown3</t>
  </si>
  <si>
    <t>TEST</t>
  </si>
  <si>
    <t>day</t>
  </si>
  <si>
    <t>month year</t>
  </si>
  <si>
    <t>No</t>
  </si>
  <si>
    <t>Basic</t>
  </si>
  <si>
    <t>DA%</t>
  </si>
  <si>
    <t>old DA%</t>
  </si>
  <si>
    <t>DA</t>
  </si>
  <si>
    <t>HRA Calc</t>
  </si>
  <si>
    <t>HRA Change</t>
  </si>
  <si>
    <t>month</t>
  </si>
  <si>
    <t>Dropdown4</t>
  </si>
  <si>
    <t>HRA%</t>
  </si>
  <si>
    <t>Bpay Old</t>
  </si>
  <si>
    <t>ir</t>
  </si>
  <si>
    <t>OLD PAY DETAILS</t>
  </si>
  <si>
    <t>New Pay Details</t>
  </si>
  <si>
    <t>PAY</t>
  </si>
  <si>
    <t>Diffrence</t>
  </si>
  <si>
    <t>S No</t>
  </si>
  <si>
    <t>CCA</t>
  </si>
  <si>
    <t>Total</t>
  </si>
  <si>
    <t>To be drawn</t>
  </si>
  <si>
    <t>Greater Hyd</t>
  </si>
  <si>
    <t>Other Municipality</t>
  </si>
  <si>
    <t>Not Applicable</t>
  </si>
  <si>
    <t>hyd</t>
  </si>
  <si>
    <t>vzag</t>
  </si>
  <si>
    <t>mun</t>
  </si>
  <si>
    <t>PHA</t>
  </si>
  <si>
    <t>Already Drawn</t>
  </si>
  <si>
    <t>TG 
Incr</t>
  </si>
  <si>
    <t>PT to
 be
 Paid</t>
  </si>
  <si>
    <t>PT 
Paid</t>
  </si>
  <si>
    <t>TG
Incr</t>
  </si>
  <si>
    <t>IR</t>
  </si>
  <si>
    <t>Others</t>
  </si>
  <si>
    <t>Oth
ers</t>
  </si>
  <si>
    <t>Option date Desig</t>
  </si>
  <si>
    <t>Option Date Scale</t>
  </si>
  <si>
    <t>SA(Social)</t>
  </si>
  <si>
    <t>SA(BS)</t>
  </si>
  <si>
    <t>SA(Tel)</t>
  </si>
  <si>
    <t>SA(Hin)</t>
  </si>
  <si>
    <t>SA(Sanscrit)</t>
  </si>
  <si>
    <t>SA(Tamil)</t>
  </si>
  <si>
    <t>LFL HM</t>
  </si>
  <si>
    <t>SA(Urdu)</t>
  </si>
  <si>
    <t>PROMOTION</t>
  </si>
  <si>
    <t>Got Promotion?As</t>
  </si>
  <si>
    <t>1-1/Jun14</t>
  </si>
  <si>
    <t>2-30/Jun14</t>
  </si>
  <si>
    <t>Change in HRA?</t>
  </si>
  <si>
    <t>LP(Tel)</t>
  </si>
  <si>
    <t>LP(Hin)</t>
  </si>
  <si>
    <t>LP(Urdu)</t>
  </si>
  <si>
    <t>BASIC(SA)</t>
  </si>
  <si>
    <t>BASIC(HM)</t>
  </si>
  <si>
    <t>Cadre</t>
  </si>
  <si>
    <t xml:space="preserve">           Pay Details</t>
  </si>
  <si>
    <t xml:space="preserve"> Working at</t>
  </si>
  <si>
    <t xml:space="preserve">            Surrender 
            Leave II</t>
  </si>
  <si>
    <t>PHC</t>
  </si>
  <si>
    <t>YES</t>
  </si>
  <si>
    <t>NO</t>
  </si>
  <si>
    <t xml:space="preserve">     DAY</t>
  </si>
  <si>
    <t xml:space="preserve">   Month &amp; Year</t>
  </si>
  <si>
    <t>AAS Calculation</t>
  </si>
  <si>
    <t>AAS DAYS</t>
  </si>
  <si>
    <t>MONTH</t>
  </si>
  <si>
    <t>DAYS</t>
  </si>
  <si>
    <t>old</t>
  </si>
  <si>
    <t>new</t>
  </si>
  <si>
    <t>total</t>
  </si>
  <si>
    <t>date</t>
  </si>
  <si>
    <t>New Basic</t>
  </si>
  <si>
    <t>Old Bpay</t>
  </si>
  <si>
    <t>Need to post</t>
  </si>
  <si>
    <t>promo</t>
  </si>
  <si>
    <t>Promotion Arrears22(B)</t>
  </si>
  <si>
    <t>FR22(a)i</t>
  </si>
  <si>
    <t xml:space="preserve">Resticted Area </t>
  </si>
  <si>
    <t>Surr1</t>
  </si>
  <si>
    <t>Total old</t>
  </si>
  <si>
    <t>OLD</t>
  </si>
  <si>
    <t>NEW</t>
  </si>
  <si>
    <t>DAYs</t>
  </si>
  <si>
    <t>tot</t>
  </si>
  <si>
    <t>days</t>
  </si>
  <si>
    <t>Difference</t>
  </si>
  <si>
    <t>Part- III Paid in Cash (01-04-2015 onwords)</t>
  </si>
  <si>
    <t>ANNEXURE</t>
  </si>
  <si>
    <t xml:space="preserve">                                                       (*) I , …………………………………………………………………………. Hoding the post of in the office of ………………………………………………………………………………….. In the scale of Rs …………………………………………….. Here by elect to continue in the existing scale of Pay.</t>
  </si>
  <si>
    <t>Date :</t>
  </si>
  <si>
    <t>Station :</t>
  </si>
  <si>
    <t>Signature</t>
  </si>
  <si>
    <t>Office in which Employeed</t>
  </si>
  <si>
    <t>STATE ?</t>
  </si>
  <si>
    <t>AP</t>
  </si>
  <si>
    <t>TS</t>
  </si>
  <si>
    <t>Signature of Head of Officer</t>
  </si>
  <si>
    <t>(with date)</t>
  </si>
  <si>
    <t>( In case of Non - Gazetted Officer)</t>
  </si>
  <si>
    <t>Note:</t>
  </si>
  <si>
    <t>Separate option shoud be given in respect of substanitive and officiating posts.</t>
  </si>
  <si>
    <t>(*)</t>
  </si>
  <si>
    <t>To be scored out if not applicable</t>
  </si>
  <si>
    <t>Date:</t>
  </si>
  <si>
    <t xml:space="preserve">Signature    </t>
  </si>
  <si>
    <t>:</t>
  </si>
  <si>
    <t>Pay and Accounts Officer/ Head of Office</t>
  </si>
  <si>
    <t>APPENDIX - I</t>
  </si>
  <si>
    <t xml:space="preserve">Statement of Fixation of Pay under Telangana State Revised Scales of Pay Rules,2015 </t>
  </si>
  <si>
    <t>Separate statement should be prepared for fixation of pay in respect of substantive and officiating post</t>
  </si>
  <si>
    <t>Name of the Employee</t>
  </si>
  <si>
    <t>Secondary Grade Teacher</t>
  </si>
  <si>
    <t>Ordinary</t>
  </si>
  <si>
    <t>Whether Substative or Officiating</t>
  </si>
  <si>
    <t>Substantive</t>
  </si>
  <si>
    <t xml:space="preserve">4.  a) </t>
  </si>
  <si>
    <t>Yes</t>
  </si>
  <si>
    <t>b)</t>
  </si>
  <si>
    <t>Date on which option was exercised</t>
  </si>
  <si>
    <t>c)</t>
  </si>
  <si>
    <t>5  a)</t>
  </si>
  <si>
    <t xml:space="preserve">     b)</t>
  </si>
  <si>
    <t>Pay in the Existing Scale (i.e RPS,2010)</t>
  </si>
  <si>
    <t>Special Pay, if any (i.e. RPS,2010)</t>
  </si>
  <si>
    <t>6  a)</t>
  </si>
  <si>
    <t>Whether this case attracts first Provisio to Rule 6(b) of the Telangana State Revised Scales of Pay Rules,2015                                                                            :</t>
  </si>
  <si>
    <t xml:space="preserve">If so, the stepped up pay (attach CHECK LIST )                 : </t>
  </si>
  <si>
    <t xml:space="preserve"> Not Applicable </t>
  </si>
  <si>
    <t>Existing Emoluments on the date of entry into Revised Pay Scales,2015</t>
  </si>
  <si>
    <t>a)</t>
  </si>
  <si>
    <t xml:space="preserve">Basic Pay' i.e. pay as defined in Fundamental Rule 9 (21) (a) (i) including stagnation increments/ Pay as per 6(b) above          </t>
  </si>
  <si>
    <t>d)</t>
  </si>
  <si>
    <t>sub-item (a) above</t>
  </si>
  <si>
    <t>Total 7 (a to d)</t>
  </si>
  <si>
    <t>Fitment benifi 43% of Basic Pay referred to in item 7(a)</t>
  </si>
  <si>
    <t>The Revised Scale of Pay,2010 for the post in which the Pay is fixed now.                                                     :</t>
  </si>
  <si>
    <t>Increase in Emoluments</t>
  </si>
  <si>
    <t>i)</t>
  </si>
  <si>
    <t>Basic Pay</t>
  </si>
  <si>
    <t>ii)</t>
  </si>
  <si>
    <t>Special Pay*</t>
  </si>
  <si>
    <t>iii)</t>
  </si>
  <si>
    <t>iv)</t>
  </si>
  <si>
    <t>Family Planning Increment*</t>
  </si>
  <si>
    <t>v)</t>
  </si>
  <si>
    <t>Advance Increments*</t>
  </si>
  <si>
    <t>vi)</t>
  </si>
  <si>
    <t>Dearness Allowance</t>
  </si>
  <si>
    <t>vii)</t>
  </si>
  <si>
    <t>House Rent Allowance</t>
  </si>
  <si>
    <t>viii)</t>
  </si>
  <si>
    <t>City Compensatory Allowance</t>
  </si>
  <si>
    <t>ix)</t>
  </si>
  <si>
    <t>Other Compensatory Allowance</t>
  </si>
  <si>
    <t>x)</t>
  </si>
  <si>
    <t>Interim Relief</t>
  </si>
  <si>
    <t>Net Increse Y - X</t>
  </si>
  <si>
    <t>Date of next increment</t>
  </si>
  <si>
    <t>-</t>
  </si>
  <si>
    <t>Next Annual Grade Increment on</t>
  </si>
  <si>
    <t>Any other relevent information</t>
  </si>
  <si>
    <t>Station    :</t>
  </si>
  <si>
    <t>Dat          :</t>
  </si>
  <si>
    <t>*</t>
  </si>
  <si>
    <t>Shall not be reckoned as pay for purpose of calaculation of Dearness Allowance, House Rent Allowance and</t>
  </si>
  <si>
    <t>City Componsatory Allowance</t>
  </si>
  <si>
    <t>APPENDIX - II</t>
  </si>
  <si>
    <t>Name of the Office</t>
  </si>
  <si>
    <t>Designation of the Drawing and Disbursing Officer</t>
  </si>
  <si>
    <t>Name and Designation of the Employee</t>
  </si>
  <si>
    <t xml:space="preserve">Amount of Arrears of Fixation of Pay in </t>
  </si>
  <si>
    <t>Revised Pay Scales, 2015</t>
  </si>
  <si>
    <t>From 1-7-2013 to 01-06-2014 (Notional)</t>
  </si>
  <si>
    <t>Rs.</t>
  </si>
  <si>
    <t>Signature of the Drawing and Disbursing Officer,</t>
  </si>
  <si>
    <t>Station     :</t>
  </si>
  <si>
    <t>Office Seal:</t>
  </si>
  <si>
    <t>ANNEXURE - I</t>
  </si>
  <si>
    <t xml:space="preserve">List of Staff Members working in the office of </t>
  </si>
  <si>
    <t>Sl.No</t>
  </si>
  <si>
    <t>Name</t>
  </si>
  <si>
    <t>Designation/ Category</t>
  </si>
  <si>
    <t>Duty/Suspension/Leave/Training/Deputation</t>
  </si>
  <si>
    <t>Result of Verification</t>
  </si>
  <si>
    <t>Signature of the Drawing and</t>
  </si>
  <si>
    <t>Signatureof the Sub- Treasury Officer/</t>
  </si>
  <si>
    <t>Disbursing Officer.</t>
  </si>
  <si>
    <t>District Treasury Officer/</t>
  </si>
  <si>
    <t>Pay and Accounts Officer/</t>
  </si>
  <si>
    <t>District Audit Officer, State Audit.</t>
  </si>
  <si>
    <t>ANNEXURE - II</t>
  </si>
  <si>
    <t>Office of …………………………………………………………………</t>
  </si>
  <si>
    <t>Name and Designation</t>
  </si>
  <si>
    <t>Defects noticed in verification of pay fixation statement</t>
  </si>
  <si>
    <t>Reference No. in which the matter is reported to the Drawing and Disbursing Officer</t>
  </si>
  <si>
    <t>Final Result (i.e) whether the Revised Pay fixation is admitted</t>
  </si>
  <si>
    <t>Signature of the Checking Authority</t>
  </si>
  <si>
    <t xml:space="preserve">Pay Bill for the Month &amp; Year     </t>
  </si>
  <si>
    <t>Date  ---------------</t>
  </si>
  <si>
    <t>Treasury / PAO Code</t>
  </si>
  <si>
    <t>For office use only</t>
  </si>
  <si>
    <t>Trans ID  -----------</t>
  </si>
  <si>
    <t xml:space="preserve">D.D.O.Code  </t>
  </si>
  <si>
    <t>D.D.O Office Name</t>
  </si>
  <si>
    <t>Bank Code</t>
  </si>
  <si>
    <t xml:space="preserve">Bank Name </t>
  </si>
  <si>
    <t>D.D.O's TBR No -------------------------------------</t>
  </si>
  <si>
    <t>Permanent/Temporary</t>
  </si>
  <si>
    <t>HEAD OF ACCOUNT</t>
  </si>
  <si>
    <t>Deductions</t>
  </si>
  <si>
    <t>Amount</t>
  </si>
  <si>
    <t>Major Head</t>
  </si>
  <si>
    <t>General Education</t>
  </si>
  <si>
    <t>AG GPF &amp; Loan</t>
  </si>
  <si>
    <t>Rs</t>
  </si>
  <si>
    <t>APGLI &amp; Loan</t>
  </si>
  <si>
    <t>Sub Major</t>
  </si>
  <si>
    <t>GIS</t>
  </si>
  <si>
    <t>Professional Tax</t>
  </si>
  <si>
    <t>Minor Head</t>
  </si>
  <si>
    <t>House Rent</t>
  </si>
  <si>
    <t>Festival Advance</t>
  </si>
  <si>
    <t>Group Sub Head</t>
  </si>
  <si>
    <t>Education Advance</t>
  </si>
  <si>
    <t>APCO Advance</t>
  </si>
  <si>
    <t>Sub Head</t>
  </si>
  <si>
    <t>H.B.A.(P)</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</si>
  <si>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</si>
  <si>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</si>
  <si>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</si>
  <si>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</si>
  <si>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</si>
  <si>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</si>
  <si>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</si>
  <si>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</si>
  <si>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</si>
  <si>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</si>
  <si>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</si>
  <si>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</si>
  <si>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</si>
  <si>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</si>
  <si>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</si>
  <si>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</si>
  <si>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</si>
  <si>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</si>
  <si>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</si>
  <si>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GPF DTO</t>
  </si>
  <si>
    <t>012    Allowance</t>
  </si>
  <si>
    <t>E.W.F /Loan</t>
  </si>
  <si>
    <t>013    Dearness Allowance</t>
  </si>
  <si>
    <t>Z.P.G.P.F(8338)+loan</t>
  </si>
  <si>
    <t>016     H.R.A.</t>
  </si>
  <si>
    <t>C.P.S (2043)</t>
  </si>
  <si>
    <t>017      I.R.</t>
  </si>
  <si>
    <t>C.S.S (2045)</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</si>
  <si>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</si>
  <si>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</si>
  <si>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</si>
  <si>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</si>
  <si>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</si>
  <si>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</si>
  <si>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</si>
  <si>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</si>
  <si>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</si>
  <si>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</si>
  <si>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</si>
  <si>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</si>
  <si>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</si>
  <si>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</si>
  <si>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Account Credit as under and Rs………………………{Rupees………………………………………………..)</t>
  </si>
  <si>
    <t>……………………………………………………….Only by Adjustment.</t>
  </si>
  <si>
    <t>Rs………………………..</t>
  </si>
  <si>
    <t xml:space="preserve">  by Transfer credit to the S.B Accounts of the Employees</t>
  </si>
  <si>
    <t>(As per Annexure-1)</t>
  </si>
  <si>
    <t xml:space="preserve">by transfer credit to the D.D.O Accounts towards </t>
  </si>
  <si>
    <t>non-government deductions.</t>
  </si>
  <si>
    <t xml:space="preserve">Treasury Officer / pay &amp; Account Officer      </t>
  </si>
  <si>
    <t>PARTICULARS OF BUDGET</t>
  </si>
  <si>
    <t>1) Budget Allotment for the Year 2010 -11</t>
  </si>
  <si>
    <t>2) Total Expenditure including this bill</t>
  </si>
  <si>
    <t>3) Balance</t>
  </si>
  <si>
    <t>Drawing Officer</t>
  </si>
  <si>
    <t xml:space="preserve"> Passed for Rs.</t>
  </si>
  <si>
    <t>Cash   Received</t>
  </si>
  <si>
    <t xml:space="preserve">             Drawing Officer</t>
  </si>
  <si>
    <t>_______________________________________________________________________________</t>
  </si>
  <si>
    <t>Certificates</t>
  </si>
  <si>
    <t>For use in Office of the Accountant General</t>
  </si>
  <si>
    <t>_______________________________________________________________________________________</t>
  </si>
  <si>
    <t>APTC FORM - 101</t>
  </si>
  <si>
    <t>See subsidiary Rules 2(W) Under Treasury Rule 15</t>
  </si>
  <si>
    <t>Govt. Memo No. 38907/Accounts/65-5 Dt, 21-02-1963</t>
  </si>
  <si>
    <t>Treasury/PAO Code:</t>
  </si>
  <si>
    <t>Treasury/PAO Name:</t>
  </si>
  <si>
    <t xml:space="preserve">To </t>
  </si>
  <si>
    <t>The Treasury Officer/Manager</t>
  </si>
  <si>
    <t>Sir,</t>
  </si>
  <si>
    <t xml:space="preserve"> </t>
  </si>
  <si>
    <t xml:space="preserve">Please Pay Bill No.                                  </t>
  </si>
  <si>
    <t>Dated:</t>
  </si>
  <si>
    <t xml:space="preserve">for      </t>
  </si>
  <si>
    <t xml:space="preserve">for the office of the </t>
  </si>
  <si>
    <t xml:space="preserve">whose specimen signature is attested </t>
  </si>
  <si>
    <t>here with.</t>
  </si>
  <si>
    <t>Signature of the Govt. Servant</t>
  </si>
  <si>
    <t>Signature of the DDO</t>
  </si>
  <si>
    <t>Received the payment</t>
  </si>
  <si>
    <t>Attested</t>
  </si>
  <si>
    <t>Signature of the Govt.</t>
  </si>
  <si>
    <t>Servant receiving the Payment</t>
  </si>
  <si>
    <t>Head of Accounts</t>
  </si>
  <si>
    <t>(Major Head)</t>
  </si>
  <si>
    <t>(Minor Head)</t>
  </si>
  <si>
    <t>(Grp-SH)</t>
  </si>
  <si>
    <t>Non-Plan - N</t>
  </si>
  <si>
    <t>(As in APTC Form - 101)</t>
  </si>
  <si>
    <t>DDO Signature</t>
  </si>
  <si>
    <t>STO Code</t>
  </si>
  <si>
    <t>STO Name</t>
  </si>
  <si>
    <t>DDO Code</t>
  </si>
  <si>
    <t>DDO Designation :</t>
  </si>
  <si>
    <t>DDO Office Name :</t>
  </si>
  <si>
    <t>Branch Code :</t>
  </si>
  <si>
    <t>Name of the LNB :</t>
  </si>
  <si>
    <t>Z P High School, MD Mangalam</t>
  </si>
  <si>
    <t xml:space="preserve">                             (For Treasury Use Only)
Date : 
Trans Id :
</t>
  </si>
  <si>
    <t>(Sub-MH)</t>
  </si>
  <si>
    <t>X</t>
  </si>
  <si>
    <t>(sub Head)</t>
  </si>
  <si>
    <t>(Det Head)</t>
  </si>
  <si>
    <t>(Sub Det.Head)</t>
  </si>
  <si>
    <t>Plan - B</t>
  </si>
  <si>
    <t>Charged -  C</t>
  </si>
  <si>
    <t>Voted - V</t>
  </si>
  <si>
    <t>Contingent Fund MH/ Service Major Head</t>
  </si>
  <si>
    <t>Gross</t>
  </si>
  <si>
    <t xml:space="preserve">Deductions </t>
  </si>
  <si>
    <t>Net</t>
  </si>
  <si>
    <t>Speciman Signature of Messenger</t>
  </si>
  <si>
    <t xml:space="preserve">Attested </t>
  </si>
  <si>
    <t xml:space="preserve">DDO Signature </t>
  </si>
  <si>
    <t xml:space="preserve">STO Signature </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</si>
  <si>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</si>
  <si>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</si>
  <si>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</si>
  <si>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</si>
  <si>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</si>
  <si>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</si>
  <si>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</si>
  <si>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</si>
  <si>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</si>
  <si>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</si>
  <si>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</si>
  <si>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</si>
  <si>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</si>
  <si>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</si>
  <si>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</si>
  <si>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</si>
  <si>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</si>
  <si>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</si>
  <si>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</si>
  <si>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</si>
  <si>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</si>
  <si>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</si>
  <si>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</si>
  <si>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</si>
  <si>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</si>
  <si>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</si>
  <si>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</si>
  <si>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</si>
  <si>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</si>
  <si>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</si>
  <si>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</si>
  <si>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</si>
  <si>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</si>
  <si>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</si>
  <si>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</si>
  <si>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</si>
  <si>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</si>
  <si>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</si>
  <si>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</si>
  <si>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</si>
  <si>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</si>
  <si>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</si>
  <si>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</si>
  <si>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</si>
  <si>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</si>
  <si>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</si>
  <si>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</si>
  <si>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</si>
  <si>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</si>
  <si>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</si>
  <si>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</si>
  <si>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</si>
  <si>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</si>
  <si>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</si>
  <si>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</si>
  <si>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</si>
  <si>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</si>
  <si>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</si>
  <si>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</si>
  <si>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</si>
  <si>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</si>
  <si>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</si>
  <si>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</si>
  <si>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</si>
  <si>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</si>
  <si>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</si>
  <si>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</si>
  <si>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</si>
  <si>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</si>
  <si>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</si>
  <si>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</si>
  <si>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</si>
  <si>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</si>
  <si>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</si>
  <si>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</si>
  <si>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</si>
  <si>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</si>
  <si>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</si>
  <si>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</si>
  <si>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</si>
  <si>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</si>
  <si>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</si>
  <si>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</si>
  <si>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</si>
  <si>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</si>
  <si>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</si>
  <si>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</si>
  <si>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</si>
  <si>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</si>
  <si>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</si>
  <si>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</si>
  <si>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</si>
  <si>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</si>
  <si>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</si>
  <si>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</si>
  <si>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</si>
  <si>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</si>
  <si>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</si>
  <si>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</si>
  <si>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TS Incre</t>
  </si>
  <si>
    <t>Language Pandit( Telugu)</t>
  </si>
  <si>
    <t>Language Pandit( Urdu)</t>
  </si>
  <si>
    <t>Language Pandit( Hin)</t>
  </si>
  <si>
    <t>School Assistant (Mathematics)</t>
  </si>
  <si>
    <t>School Assistant( English)</t>
  </si>
  <si>
    <t>School Assistant (Social Studies)</t>
  </si>
  <si>
    <t>School Assistant (Biological Science)</t>
  </si>
  <si>
    <t>School Assistant (Physical Science)</t>
  </si>
  <si>
    <t>School Assistant (Telugu)</t>
  </si>
  <si>
    <t>School Assistant (Hindi)</t>
  </si>
  <si>
    <t>School Assistant (Sanscrit)</t>
  </si>
  <si>
    <t xml:space="preserve">Physical </t>
  </si>
  <si>
    <t>School Assistant(Tamil)</t>
  </si>
  <si>
    <t>School Assistant(Urdu)</t>
  </si>
  <si>
    <t>ExistingScale of Pay of the post on the date of entry into the Revised Pay Scales, 2015.</t>
  </si>
  <si>
    <t>Personal Pay under Rule 9 (23) (a) of the fundamental Rules or Rule 7(40) (a) of the Hyderabad Civil Service Regulations</t>
  </si>
  <si>
    <t>Signature of Another Gazetted Officer
( In case of  Gazetted Officer)</t>
  </si>
  <si>
    <t>FORM FOR EXCERCISING OPTION UNDER THE TELANGANA STATE 
REVISED SCALES OF PAY RULES,2015</t>
  </si>
  <si>
    <t>Date from which option to come over to the Revised Pay Scales of, 2015 from 1-7-2013 or the Date of next increment.</t>
  </si>
  <si>
    <t>01.07.2013</t>
  </si>
  <si>
    <t>Personal Pay Sanctioned under A.P Revised Scales of Pay Rules 2010.</t>
  </si>
  <si>
    <t>Dearness Allowance admissible at the rate @63.344% (without being rounded off) which existed on 1st July,2013 appropriate to Basic Pay reffered to at      :</t>
  </si>
  <si>
    <t>Revised Pay as fixed in the Revised Scale at the Stage next above the amount referred to in item 9 above irrespective whether, the amount is a stage or not, in the Revised Scale.</t>
  </si>
  <si>
    <t>In respect of employees holding Special Grade/ Special Promotion Post/ Special Adhoc Promotion Post, fixation shall be in the  corresponding relevant Revised Scales assigned to the post.</t>
  </si>
  <si>
    <t>The amount of pay fixed in the Revised Pay Scales, 2010 in the lower/substantive post</t>
  </si>
  <si>
    <t>in the Existing RPC 2010 Scale X</t>
  </si>
  <si>
    <t>in the Revised Pay Scale, 2015 Y</t>
  </si>
  <si>
    <t>Personal Pay* (under FR/AP.RSPR,2015)</t>
  </si>
  <si>
    <t>The amount of pay fixed in Revised Pay Scales, 2015 (vide item 11 above)</t>
  </si>
  <si>
    <t>Signature of the Head of the Office/Drawing and Disbursing Officer.</t>
  </si>
  <si>
    <t>ZPHS</t>
  </si>
  <si>
    <t>MP UPS</t>
  </si>
  <si>
    <t>MPPS</t>
  </si>
  <si>
    <t>Govt HS</t>
  </si>
  <si>
    <t>Govt PS</t>
  </si>
  <si>
    <t>Govt UPS</t>
  </si>
  <si>
    <t>Mpl HS</t>
  </si>
  <si>
    <t>Mpl UPS</t>
  </si>
  <si>
    <t>Mpl PS</t>
  </si>
  <si>
    <t>Z P High School</t>
  </si>
  <si>
    <t>M P UP School</t>
  </si>
  <si>
    <t>MP Primary School</t>
  </si>
  <si>
    <t>Govt.High School</t>
  </si>
  <si>
    <t>Govt.UP School</t>
  </si>
  <si>
    <t>Govt Primary School</t>
  </si>
  <si>
    <t>Mpl. High School</t>
  </si>
  <si>
    <t>Mpl.UP School</t>
  </si>
  <si>
    <t>Mpl.Primary School</t>
  </si>
  <si>
    <t>Government of Telangana</t>
  </si>
  <si>
    <t>(TSTC Form-47)</t>
  </si>
  <si>
    <t xml:space="preserve">           Treasury Information</t>
  </si>
  <si>
    <t>1101-0308-109</t>
  </si>
  <si>
    <t>DDO Designation</t>
  </si>
  <si>
    <t>M.D Mangalam</t>
  </si>
  <si>
    <t>Link Bank Code</t>
  </si>
  <si>
    <t>07084</t>
  </si>
  <si>
    <t>Name of the Link Bank</t>
  </si>
  <si>
    <t>Treasury Place</t>
  </si>
  <si>
    <t>DTO, Chittoor</t>
  </si>
  <si>
    <t>S.Venkatesh, SA Maths</t>
  </si>
  <si>
    <t>Messanger Name &amp; Desig</t>
  </si>
  <si>
    <t>PART- I NOTIONAL ARREARS(01-07- 2013 to 01-06-2014)</t>
  </si>
  <si>
    <t>Increments as follows</t>
  </si>
  <si>
    <t>Emp Treasury ID</t>
  </si>
  <si>
    <t>PRC -2015 Telangana</t>
  </si>
  <si>
    <t>Spl.Grade(6 Years)</t>
  </si>
  <si>
    <t>SPP-I(12 Years)</t>
  </si>
  <si>
    <t>SPP-II(18 Years)</t>
  </si>
  <si>
    <t>SA</t>
  </si>
  <si>
    <t>HM</t>
  </si>
  <si>
    <t>Bill Upto</t>
  </si>
  <si>
    <t>www.apteacher.net</t>
  </si>
  <si>
    <t>This is trail version PRC-2015 software, we are updating daily based on the phone calls and emails of our beloved friends like 'U', Please let me know the errors in the software, I am sure to update it immediately.</t>
  </si>
  <si>
    <r>
      <t xml:space="preserve">A Software by
</t>
    </r>
    <r>
      <rPr>
        <b/>
        <sz val="16"/>
        <color indexed="18"/>
        <rFont val="Times New Roman"/>
        <family val="1"/>
      </rPr>
      <t>S.Seshadri SA(MM)</t>
    </r>
    <r>
      <rPr>
        <sz val="14"/>
        <color indexed="8"/>
        <rFont val="Times New Roman"/>
        <family val="1"/>
      </rPr>
      <t xml:space="preserve">
    </t>
    </r>
    <r>
      <rPr>
        <b/>
        <sz val="14"/>
        <color indexed="60"/>
        <rFont val="Times New Roman"/>
        <family val="1"/>
      </rPr>
      <t xml:space="preserve">Z P High School
     M D Mangalam
    Chittoor-517125
Ph:9492070567
</t>
    </r>
    <r>
      <rPr>
        <b/>
        <sz val="14"/>
        <color indexed="60"/>
        <rFont val="Times New Roman"/>
        <family val="1"/>
      </rPr>
      <t>sesadri@gmail.com</t>
    </r>
  </si>
  <si>
    <t>Karimnagar</t>
  </si>
  <si>
    <t>Greater Hyderabad</t>
  </si>
  <si>
    <t>Municipal Corp</t>
  </si>
  <si>
    <t>PART - II Monetory Benefit (02-06-2014 to 31-03-2015) Adjust to ZP GPF/AG GPF/IV Class GPF Accoumts</t>
  </si>
  <si>
    <t>తెలంగాణా ప్రభుత్వం</t>
  </si>
  <si>
    <t>Sub:</t>
  </si>
  <si>
    <t>Ref:</t>
  </si>
  <si>
    <t>7. Proposals of the Individual with option Date</t>
  </si>
  <si>
    <t>ORDER</t>
  </si>
  <si>
    <r>
      <t xml:space="preserve">        In the Government order 1</t>
    </r>
    <r>
      <rPr>
        <vertAlign val="superscript"/>
        <sz val="12"/>
        <rFont val="Times New Roman"/>
        <family val="1"/>
      </rPr>
      <t>st</t>
    </r>
    <r>
      <rPr>
        <sz val="12"/>
        <rFont val="Times New Roman"/>
        <family val="1"/>
      </rPr>
      <t xml:space="preserve"> read above the pay scales of employees of state Government including Local Bodies have been revised in revision of Pay Scales, 2015 with effect from the date 01.07.2013 or date of next increment for the option exercised by the individual.</t>
    </r>
  </si>
  <si>
    <t>His pay is fixed in the R.P.S, 2013 as follows.</t>
  </si>
  <si>
    <t>Basic Pay as on option Date  :   Rs.</t>
  </si>
  <si>
    <t xml:space="preserve">DA @ 63.344%       :   Rs.  </t>
  </si>
  <si>
    <t>Fitment @ 43%  :   Rs.</t>
  </si>
  <si>
    <t>Toal  :   Rs.</t>
  </si>
  <si>
    <t xml:space="preserve">Pay Fixed in RPS,2015  :   Rs. </t>
  </si>
  <si>
    <t>S. No</t>
  </si>
  <si>
    <t>Name of the Incumbent</t>
  </si>
  <si>
    <t>Existing Scale of Pay</t>
  </si>
  <si>
    <t>Existing Pay as on Option Date</t>
  </si>
  <si>
    <t>Revised Scale of Pay</t>
  </si>
  <si>
    <t>Pay fixed in RPS, 2015</t>
  </si>
  <si>
    <t>Date of Increments</t>
  </si>
  <si>
    <t>Pay Regulated Due to AGI</t>
  </si>
  <si>
    <t>Remarks</t>
  </si>
  <si>
    <t>1.07.2013</t>
  </si>
  <si>
    <t xml:space="preserve">        The monetary benefit is allowed notionally from 01.07.2013 to 01.06.2014. Arrears from 02.06.2014 to 28.02.2015 credited into G.P.F/ZPPF/CSS Accounts and cash payable from 01.03.2015.</t>
  </si>
  <si>
    <t xml:space="preserve">         Further the individuals are informed that if any excess payment is noticed due to erroneous fixation of pay the same will be recovered lumpsum from the concerned without any prior notice and when anomaly if any is noticed by the authorities concerned in during the course of audit, the pay will be revised accordingly.</t>
  </si>
  <si>
    <t xml:space="preserve">         Pay fixation forms pay bills, option forms along with Original Service Book is enclosed here with.</t>
  </si>
  <si>
    <t>The Individual Concerned.</t>
  </si>
  <si>
    <t>Copy to the pay bills (3) copies submitted to STO</t>
  </si>
  <si>
    <t>Copy to Office File.</t>
  </si>
  <si>
    <t>Rc No.</t>
  </si>
  <si>
    <t>Sri.K.R Ramesh Babu MA, B.Ed</t>
  </si>
  <si>
    <t>1.G.O Ms.No.25 Finance(HRM.IV) Department Dt:18/03/2015</t>
  </si>
  <si>
    <t>2.G.O.Ms.No.26 Finance(HRM.IV) Department Dt:18/03/2015</t>
  </si>
  <si>
    <t>3.G.O.Ms.No.27 Finance(HRM.IV) Department Dt:18/03/2015</t>
  </si>
  <si>
    <t>4.G.O.Ms.No.28 Finance(HRM.IV) Department Dt:18/03/2015</t>
  </si>
  <si>
    <t>www.tabadi.com</t>
  </si>
  <si>
    <r>
      <t xml:space="preserve">Download from only </t>
    </r>
    <r>
      <rPr>
        <sz val="16"/>
        <color indexed="10"/>
        <rFont val="Times New Roman"/>
        <family val="1"/>
      </rPr>
      <t>www.tsbadi.com</t>
    </r>
    <r>
      <rPr>
        <sz val="16"/>
        <color indexed="10"/>
        <rFont val="Times New Roman"/>
        <family val="1"/>
      </rPr>
      <t xml:space="preserve"> </t>
    </r>
    <r>
      <rPr>
        <sz val="16"/>
        <color indexed="8"/>
        <rFont val="Times New Roman"/>
        <family val="1"/>
      </rPr>
      <t xml:space="preserve">, </t>
    </r>
    <r>
      <rPr>
        <sz val="16"/>
        <color indexed="17"/>
        <rFont val="Times New Roman"/>
        <family val="1"/>
      </rPr>
      <t>www.apateacher.net</t>
    </r>
  </si>
  <si>
    <t>The option hereby exercised is final and will not be modified at any subsequent date.</t>
  </si>
  <si>
    <t>Received the above declaration</t>
  </si>
  <si>
    <t xml:space="preserve">            Personal Details                                                                            www.tsbadi.com </t>
  </si>
  <si>
    <t xml:space="preserve">5.Circular Memo. No.68/1/HRM.IV/2014 Dt: 04-04-2015. </t>
  </si>
  <si>
    <t xml:space="preserve">Circular Memo. No.68/1/HRM.IV/2014 FINANCE (HRM.IV) DEPARTMENT Dt: 04-04-2015. </t>
  </si>
  <si>
    <t xml:space="preserve">P
Tax </t>
  </si>
  <si>
    <t>Payable Net</t>
  </si>
  <si>
    <t xml:space="preserve">PF Type </t>
  </si>
  <si>
    <t>SI No</t>
  </si>
  <si>
    <t>Employee Treasury Id</t>
  </si>
  <si>
    <t>Total Subscription</t>
  </si>
  <si>
    <t>A.P.T.C FORM-49</t>
  </si>
  <si>
    <t>(See subsidiary rule 13 under Treasury rule 10)</t>
  </si>
  <si>
    <t>PERIODICAL INCREMENT CERFIFICATE</t>
  </si>
  <si>
    <t>SNO</t>
  </si>
  <si>
    <t>Name of the employee</t>
  </si>
  <si>
    <t>Appointment</t>
  </si>
  <si>
    <t>Whether substaive /officating</t>
  </si>
  <si>
    <t>Date from which presnet pay is drawn</t>
  </si>
  <si>
    <t xml:space="preserve">suspention for misconduct </t>
  </si>
  <si>
    <t>Leave without pay and in the case of those holding the pose temporarely are in an officiating capacity al kinds of leave other than leave an average pay during which they would have continued to offciate in the post bu the for their going on leve upto a maximum of fourmoths of such leave taken at time</t>
  </si>
  <si>
    <t>Date from which increment may be given</t>
  </si>
  <si>
    <t xml:space="preserve">Scale of pay </t>
  </si>
  <si>
    <t>Present Pay</t>
  </si>
  <si>
    <t xml:space="preserve">Amount of increment </t>
  </si>
  <si>
    <t>Future Pay</t>
  </si>
  <si>
    <t>From</t>
  </si>
  <si>
    <t>To</t>
  </si>
  <si>
    <t xml:space="preserve">Officiating </t>
  </si>
  <si>
    <t>FORM 49</t>
  </si>
  <si>
    <t xml:space="preserve">Whether the employee has opted to the Revised Pay Scales of, 2015                                                                </t>
  </si>
  <si>
    <t>Sri S Nithin</t>
  </si>
  <si>
    <t xml:space="preserve"> Notional Part</t>
  </si>
  <si>
    <t>Cash Benefit</t>
  </si>
  <si>
    <t>Part-II Total</t>
  </si>
  <si>
    <t>Part-III Total</t>
  </si>
  <si>
    <t>TG Incr</t>
  </si>
  <si>
    <t>SBI,Chittoor</t>
  </si>
  <si>
    <t>From 1-03-2015 to till date (Paid in cash)</t>
  </si>
  <si>
    <t>Remarks: 1) As per G.O Ms No:25, Finance(PC-I) Department Dated:18.03.2015 and this office Procgs.No :…………………/2015 Dt : …../…../2015.
2) Certified that the amount claimed in this bill is not drawn earlier .</t>
  </si>
  <si>
    <t xml:space="preserve">to </t>
  </si>
  <si>
    <t>Prepared by S.Seshadri SA(MM),ZPHS-MD Mangalam,G.D Nellore 9492070567 Visit www.apteacher.net</t>
  </si>
  <si>
    <t>Software designed by S.Seshadri,SA(MM),ZPHS-MAHADEVAMANGALAM,GD Nellore(Mandal)</t>
  </si>
  <si>
    <t>xx</t>
  </si>
  <si>
    <t>010</t>
  </si>
  <si>
    <t>01</t>
  </si>
  <si>
    <t>05</t>
  </si>
  <si>
    <t>02</t>
  </si>
  <si>
    <t>191</t>
  </si>
  <si>
    <t>2202</t>
  </si>
  <si>
    <t>101</t>
  </si>
  <si>
    <t>04</t>
  </si>
  <si>
    <t>Assistance to local bodies Secondary Education</t>
  </si>
  <si>
    <t>Assistance to local bodies Primary Education</t>
  </si>
  <si>
    <t>109</t>
  </si>
  <si>
    <t>Govt Secondary School</t>
  </si>
  <si>
    <t>Teaching Grants ZP</t>
  </si>
  <si>
    <t>Teaching Grants MP</t>
  </si>
  <si>
    <t>Name of the DDO, Qualification</t>
  </si>
  <si>
    <t>Teaching Grants to Govt Primary School</t>
  </si>
  <si>
    <t>Teaching Grants to Govt Secondary School</t>
  </si>
  <si>
    <t>Muncipal Schools</t>
  </si>
  <si>
    <t>103</t>
  </si>
  <si>
    <r>
      <rPr>
        <b/>
        <sz val="15"/>
        <color indexed="10"/>
        <rFont val="Times New Roman"/>
        <family val="1"/>
      </rPr>
      <t>1)FR22(B) :</t>
    </r>
    <r>
      <rPr>
        <sz val="15"/>
        <color indexed="8"/>
        <rFont val="Times New Roman"/>
        <family val="1"/>
      </rPr>
      <t xml:space="preserve"> Promotion with 2 increments or  fixed at next level post minimum basic.
</t>
    </r>
    <r>
      <rPr>
        <b/>
        <sz val="15"/>
        <color indexed="10"/>
        <rFont val="Times New Roman"/>
        <family val="1"/>
      </rPr>
      <t>2)FR22(a)i</t>
    </r>
    <r>
      <rPr>
        <sz val="15"/>
        <color indexed="8"/>
        <rFont val="Times New Roman"/>
        <family val="1"/>
      </rPr>
      <t xml:space="preserve"> : Promotion with one increment. No, Change in increment  month.                           
</t>
    </r>
    <r>
      <rPr>
        <b/>
        <sz val="15"/>
        <color indexed="10"/>
        <rFont val="Times New Roman"/>
        <family val="1"/>
      </rPr>
      <t>3)</t>
    </r>
    <r>
      <rPr>
        <sz val="15"/>
        <color indexed="8"/>
        <rFont val="Times New Roman"/>
        <family val="1"/>
      </rPr>
      <t xml:space="preserve"> </t>
    </r>
    <r>
      <rPr>
        <b/>
        <sz val="15"/>
        <color indexed="10"/>
        <rFont val="Times New Roman"/>
        <family val="1"/>
      </rPr>
      <t>FR22(a)i &amp; Increment</t>
    </r>
    <r>
      <rPr>
        <sz val="15"/>
        <color indexed="8"/>
        <rFont val="Times New Roman"/>
        <family val="1"/>
      </rPr>
      <t xml:space="preserve">: Giving 2 increments at time of Increment date due to promotion 
</t>
    </r>
    <r>
      <rPr>
        <sz val="15"/>
        <color indexed="10"/>
        <rFont val="Times New Roman"/>
        <family val="1"/>
      </rPr>
      <t xml:space="preserve">Know more at    </t>
    </r>
    <r>
      <rPr>
        <sz val="15"/>
        <color indexed="8"/>
        <rFont val="Times New Roman"/>
        <family val="1"/>
      </rPr>
      <t xml:space="preserve">--&gt; </t>
    </r>
    <r>
      <rPr>
        <sz val="15"/>
        <color indexed="18"/>
        <rFont val="Times New Roman"/>
        <family val="1"/>
      </rPr>
      <t>www.apteacher.net</t>
    </r>
    <r>
      <rPr>
        <sz val="15"/>
        <color indexed="8"/>
        <rFont val="Times New Roman"/>
        <family val="1"/>
      </rPr>
      <t xml:space="preserve">
</t>
    </r>
  </si>
  <si>
    <t>(Circular Memo. No.68/1/HRM.IV/2014 Dt: 04-04-2015)</t>
  </si>
  <si>
    <t>Designation of the post in which pay is to be fixed (the actual nomenclature of the post i.e Ordinary/Special Grade/SPP/SAPP held by the employee is to be only mentioned)</t>
  </si>
  <si>
    <t xml:space="preserve">The pay fixed in the Revised Pay Scales,2015 in officiating post as per Rule 6(g) (i) of Telangana Revised Scales of Pay Rules,2010 in case whether the Pay in 13 is equal or less than Pay in item 13(a) above (i.e next stage to the amount of the substantive pay as per item 13(a) above) </t>
  </si>
  <si>
    <t>1) Certified that every Govt servant(s) named below has have been earned and proscribed periodical increment from date/dates noted in  column (10) and either I(a) has/have the incumbent  are the appointment indicated against his name/their names for a period not less than____years since the dates in column (5) or (if he has /they have been suspended for mis conduct) column(7) after deducting the periods between the dates showing in columns(3) and has(9) and has been subjected in any order of stoppage of increments has penalty during the periods and durings the periods of leave on average pay taken at a time from ______________to ________and from____________to _________which has/have been counted for increaments/ in the case officiating Govt servants/servants named below the/they would have affiliated in the post/posts but for his/ their going on leave ______________________________________________</t>
  </si>
  <si>
    <t>Addl</t>
  </si>
  <si>
    <t>FP+Addl</t>
  </si>
  <si>
    <t>Total of items 6 and 7                                                     :</t>
  </si>
  <si>
    <t>12 a)</t>
  </si>
  <si>
    <t xml:space="preserve"> b)</t>
  </si>
  <si>
    <t xml:space="preserve"> c)</t>
  </si>
  <si>
    <t>a) From 02-06-2014 to 28-02-2015  (Separate orders will be issued)</t>
  </si>
  <si>
    <t>b)For the Month of March,2015 (Paid in cash)</t>
  </si>
  <si>
    <r>
      <t>PRC 2015 TELANGANA(</t>
    </r>
    <r>
      <rPr>
        <b/>
        <sz val="20"/>
        <color indexed="10"/>
        <rFont val="Times New Roman"/>
        <family val="1"/>
      </rPr>
      <t>Full Version</t>
    </r>
    <r>
      <rPr>
        <b/>
        <sz val="28"/>
        <color indexed="9"/>
        <rFont val="Times New Roman"/>
        <family val="1"/>
      </rPr>
      <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</si>
</sst>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000]d/m/yyyy;@"/>
    <numFmt numFmtId="165" formatCode="0.00_);\(0.00\)"/>
    <numFmt numFmtId="166" formatCode="&quot;$&quot;#,##0.00"/>
    <numFmt numFmtId="167" formatCode="dd/mm/yyyy;@"/>
    <numFmt numFmtId="168" formatCode="&quot;Rs&quot;#,##0.00_);\(&quot;Rs&quot;#,##0.00\)"/>
    <numFmt numFmtId="169" formatCode="[$-409]d\-mmm\-yy;@"/>
    <numFmt numFmtId="170" formatCode="_(* #,##0_);_(* \(#,##0\);_(*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
  </numFmts>
  <fonts count="177">
    <font>
      <sz val="11"/>
      <color theme="1"/>
      <name val="Calibri"/>
      <family val="2"/>
    </font>
    <font>
      <sz val="11"/>
      <color indexed="8"/>
      <name val="Calibri"/>
      <family val="2"/>
    </font>
    <font>
      <sz val="14"/>
      <name val="Times New Roman"/>
      <family val="1"/>
    </font>
    <font>
      <sz val="12"/>
      <name val="Times New Roman"/>
      <family val="1"/>
    </font>
    <font>
      <sz val="16"/>
      <name val="Times New Roman"/>
      <family val="1"/>
    </font>
    <font>
      <sz val="10"/>
      <name val="Times New Roman"/>
      <family val="1"/>
    </font>
    <font>
      <sz val="11"/>
      <name val="Times New Roman"/>
      <family val="1"/>
    </font>
    <font>
      <sz val="13"/>
      <name val="Times New Roman"/>
      <family val="1"/>
    </font>
    <font>
      <sz val="10.5"/>
      <name val="Times New Roman"/>
      <family val="1"/>
    </font>
    <font>
      <sz val="18"/>
      <name val="Times New Roman"/>
      <family val="1"/>
    </font>
    <font>
      <sz val="11"/>
      <color indexed="10"/>
      <name val="Times New Roman"/>
      <family val="1"/>
    </font>
    <font>
      <sz val="10"/>
      <name val="Bookman Old Style"/>
      <family val="1"/>
    </font>
    <font>
      <sz val="16"/>
      <name val="Bookman Old Style"/>
      <family val="1"/>
    </font>
    <font>
      <sz val="14"/>
      <name val="Bookman Old Style"/>
      <family val="1"/>
    </font>
    <font>
      <b/>
      <sz val="12"/>
      <name val="Times New Roman"/>
      <family val="1"/>
    </font>
    <font>
      <sz val="12"/>
      <name val="Bookman Old Style"/>
      <family val="1"/>
    </font>
    <font>
      <sz val="9"/>
      <name val="Bookman Old Style"/>
      <family val="1"/>
    </font>
    <font>
      <sz val="8"/>
      <name val="Bookman Old Style"/>
      <family val="1"/>
    </font>
    <font>
      <sz val="9"/>
      <name val="Arial"/>
      <family val="2"/>
    </font>
    <font>
      <u val="single"/>
      <sz val="10"/>
      <name val="Times New Roman"/>
      <family val="1"/>
    </font>
    <font>
      <sz val="9"/>
      <name val="Times New Roman"/>
      <family val="1"/>
    </font>
    <font>
      <u val="single"/>
      <sz val="10"/>
      <name val="Bookman Old Style"/>
      <family val="1"/>
    </font>
    <font>
      <sz val="11"/>
      <name val="Bookman Old Style"/>
      <family val="1"/>
    </font>
    <font>
      <b/>
      <sz val="11"/>
      <name val="Bookman Old Style"/>
      <family val="1"/>
    </font>
    <font>
      <sz val="7"/>
      <name val="Bookman Old Style"/>
      <family val="1"/>
    </font>
    <font>
      <b/>
      <sz val="10"/>
      <name val="Bookman Old Style"/>
      <family val="1"/>
    </font>
    <font>
      <sz val="10"/>
      <name val="Palatino Linotype"/>
      <family val="1"/>
    </font>
    <font>
      <sz val="10"/>
      <name val="Arial"/>
      <family val="2"/>
    </font>
    <font>
      <sz val="14"/>
      <name val="Arial"/>
      <family val="2"/>
    </font>
    <font>
      <sz val="11"/>
      <name val="Arial"/>
      <family val="2"/>
    </font>
    <font>
      <b/>
      <sz val="11"/>
      <name val="Arial"/>
      <family val="2"/>
    </font>
    <font>
      <sz val="10"/>
      <color indexed="10"/>
      <name val="Arial"/>
      <family val="2"/>
    </font>
    <font>
      <b/>
      <sz val="10"/>
      <name val="Arial"/>
      <family val="2"/>
    </font>
    <font>
      <b/>
      <sz val="14"/>
      <name val="Arial"/>
      <family val="2"/>
    </font>
    <font>
      <u val="single"/>
      <sz val="10"/>
      <name val="Arial"/>
      <family val="2"/>
    </font>
    <font>
      <sz val="7"/>
      <name val="Arial"/>
      <family val="2"/>
    </font>
    <font>
      <sz val="15"/>
      <color indexed="8"/>
      <name val="Times New Roman"/>
      <family val="1"/>
    </font>
    <font>
      <b/>
      <sz val="15"/>
      <color indexed="10"/>
      <name val="Times New Roman"/>
      <family val="1"/>
    </font>
    <font>
      <sz val="15"/>
      <color indexed="18"/>
      <name val="Times New Roman"/>
      <family val="1"/>
    </font>
    <font>
      <sz val="15"/>
      <color indexed="10"/>
      <name val="Times New Roman"/>
      <family val="1"/>
    </font>
    <font>
      <b/>
      <sz val="28"/>
      <color indexed="9"/>
      <name val="Times New Roman"/>
      <family val="1"/>
    </font>
    <font>
      <b/>
      <sz val="20"/>
      <color indexed="10"/>
      <name val="Times New Roman"/>
      <family val="1"/>
    </font>
    <font>
      <sz val="14"/>
      <color indexed="8"/>
      <name val="Times New Roman"/>
      <family val="1"/>
    </font>
    <font>
      <sz val="16"/>
      <color indexed="8"/>
      <name val="Times New Roman"/>
      <family val="1"/>
    </font>
    <font>
      <b/>
      <sz val="16"/>
      <color indexed="18"/>
      <name val="Times New Roman"/>
      <family val="1"/>
    </font>
    <font>
      <b/>
      <sz val="14"/>
      <color indexed="60"/>
      <name val="Times New Roman"/>
      <family val="1"/>
    </font>
    <font>
      <sz val="16"/>
      <color indexed="10"/>
      <name val="Times New Roman"/>
      <family val="1"/>
    </font>
    <font>
      <sz val="16"/>
      <color indexed="17"/>
      <name val="Times New Roman"/>
      <family val="1"/>
    </font>
    <font>
      <sz val="9"/>
      <name val="Tahoma"/>
      <family val="0"/>
    </font>
    <font>
      <b/>
      <sz val="9"/>
      <name val="Tahoma"/>
      <family val="0"/>
    </font>
    <font>
      <sz val="13"/>
      <name val="Tahoma"/>
      <family val="2"/>
    </font>
    <font>
      <sz val="5"/>
      <name val="Times New Roman"/>
      <family val="1"/>
    </font>
    <font>
      <sz val="6"/>
      <name val="Times New Roman"/>
      <family val="1"/>
    </font>
    <font>
      <vertAlign val="superscript"/>
      <sz val="12"/>
      <name val="Times New Roman"/>
      <family val="1"/>
    </font>
    <font>
      <sz val="8"/>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10"/>
      <name val="Calibri"/>
      <family val="2"/>
    </font>
    <font>
      <sz val="10"/>
      <color indexed="8"/>
      <name val="Calibri"/>
      <family val="2"/>
    </font>
    <font>
      <sz val="8"/>
      <color indexed="8"/>
      <name val="Calibri"/>
      <family val="2"/>
    </font>
    <font>
      <sz val="20"/>
      <color indexed="8"/>
      <name val="Calibri"/>
      <family val="2"/>
    </font>
    <font>
      <sz val="16"/>
      <color indexed="8"/>
      <name val="Calibri"/>
      <family val="2"/>
    </font>
    <font>
      <b/>
      <sz val="14"/>
      <color indexed="8"/>
      <name val="Times New Roman"/>
      <family val="1"/>
    </font>
    <font>
      <sz val="13"/>
      <color indexed="8"/>
      <name val="Times New Roman"/>
      <family val="1"/>
    </font>
    <font>
      <b/>
      <sz val="11"/>
      <color indexed="8"/>
      <name val="Times New Roman"/>
      <family val="1"/>
    </font>
    <font>
      <sz val="14"/>
      <color indexed="10"/>
      <name val="Times New Roman"/>
      <family val="1"/>
    </font>
    <font>
      <sz val="14"/>
      <color indexed="22"/>
      <name val="Times New Roman"/>
      <family val="1"/>
    </font>
    <font>
      <sz val="12"/>
      <color indexed="8"/>
      <name val="Times New Roman"/>
      <family val="1"/>
    </font>
    <font>
      <sz val="9"/>
      <color indexed="8"/>
      <name val="Times New Roman"/>
      <family val="1"/>
    </font>
    <font>
      <sz val="14"/>
      <color indexed="9"/>
      <name val="Times New Roman"/>
      <family val="1"/>
    </font>
    <font>
      <sz val="10"/>
      <color indexed="10"/>
      <name val="Times New Roman"/>
      <family val="1"/>
    </font>
    <font>
      <b/>
      <sz val="10"/>
      <color indexed="8"/>
      <name val="Calibri"/>
      <family val="2"/>
    </font>
    <font>
      <u val="single"/>
      <sz val="14"/>
      <color indexed="8"/>
      <name val="Times New Roman"/>
      <family val="1"/>
    </font>
    <font>
      <sz val="10"/>
      <color indexed="9"/>
      <name val="Calibri"/>
      <family val="2"/>
    </font>
    <font>
      <sz val="24"/>
      <color indexed="8"/>
      <name val="Calibri"/>
      <family val="2"/>
    </font>
    <font>
      <sz val="9"/>
      <color indexed="8"/>
      <name val="Calibri"/>
      <family val="2"/>
    </font>
    <font>
      <sz val="26"/>
      <color indexed="8"/>
      <name val="Times New Roman"/>
      <family val="1"/>
    </font>
    <font>
      <b/>
      <sz val="10"/>
      <color indexed="8"/>
      <name val="Times New Roman"/>
      <family val="1"/>
    </font>
    <font>
      <b/>
      <sz val="16"/>
      <color indexed="8"/>
      <name val="Calibri"/>
      <family val="2"/>
    </font>
    <font>
      <sz val="10"/>
      <color indexed="8"/>
      <name val="Times New Roman"/>
      <family val="1"/>
    </font>
    <font>
      <b/>
      <sz val="16"/>
      <color indexed="8"/>
      <name val="Times New Roman"/>
      <family val="1"/>
    </font>
    <font>
      <b/>
      <sz val="14"/>
      <color indexed="21"/>
      <name val="Times New Roman"/>
      <family val="1"/>
    </font>
    <font>
      <sz val="16"/>
      <color indexed="9"/>
      <name val="Times New Roman"/>
      <family val="1"/>
    </font>
    <font>
      <sz val="18"/>
      <color indexed="9"/>
      <name val="Times New Roman"/>
      <family val="1"/>
    </font>
    <font>
      <b/>
      <sz val="14"/>
      <color indexed="60"/>
      <name val="Calibri"/>
      <family val="2"/>
    </font>
    <font>
      <b/>
      <sz val="16"/>
      <color indexed="12"/>
      <name val="Calibri"/>
      <family val="2"/>
    </font>
    <font>
      <sz val="26"/>
      <color indexed="62"/>
      <name val="Times New Roman"/>
      <family val="1"/>
    </font>
    <font>
      <sz val="36"/>
      <color indexed="10"/>
      <name val="Times New Roman"/>
      <family val="1"/>
    </font>
    <font>
      <b/>
      <sz val="15"/>
      <color indexed="60"/>
      <name val="Times New Roman"/>
      <family val="1"/>
    </font>
    <font>
      <sz val="22"/>
      <color indexed="8"/>
      <name val="Calibri"/>
      <family val="2"/>
    </font>
    <font>
      <sz val="14"/>
      <color indexed="8"/>
      <name val="Calibri"/>
      <family val="2"/>
    </font>
    <font>
      <sz val="8"/>
      <name val="Segoe UI"/>
      <family val="2"/>
    </font>
    <font>
      <sz val="14"/>
      <color indexed="9"/>
      <name val="Calibri"/>
      <family val="0"/>
    </font>
    <font>
      <b/>
      <sz val="14"/>
      <color indexed="9"/>
      <name val="Calibri"/>
      <family val="0"/>
    </font>
    <font>
      <b/>
      <sz val="12"/>
      <color indexed="9"/>
      <name val="Calibri"/>
      <family val="0"/>
    </font>
    <font>
      <b/>
      <sz val="18"/>
      <color indexed="9"/>
      <name val="Calibri"/>
      <family val="0"/>
    </font>
    <font>
      <b/>
      <sz val="16"/>
      <color indexed="9"/>
      <name val="Calibri"/>
      <family val="0"/>
    </font>
    <font>
      <sz val="11"/>
      <color indexed="8"/>
      <name val="Arial"/>
      <family val="0"/>
    </font>
    <font>
      <b/>
      <sz val="11"/>
      <color indexed="8"/>
      <name val="Bookman Old Style"/>
      <family val="0"/>
    </font>
    <font>
      <sz val="10"/>
      <color indexed="8"/>
      <name val="Arial"/>
      <family val="0"/>
    </font>
    <font>
      <b/>
      <sz val="10"/>
      <color indexed="8"/>
      <name val="Bookman Old Style"/>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FF0000"/>
      <name val="Calibri"/>
      <family val="2"/>
    </font>
    <font>
      <sz val="10"/>
      <color theme="1"/>
      <name val="Calibri"/>
      <family val="2"/>
    </font>
    <font>
      <sz val="8"/>
      <color theme="1"/>
      <name val="Calibri"/>
      <family val="2"/>
    </font>
    <font>
      <sz val="20"/>
      <color theme="1"/>
      <name val="Calibri"/>
      <family val="2"/>
    </font>
    <font>
      <sz val="16"/>
      <color theme="1"/>
      <name val="Calibri"/>
      <family val="2"/>
    </font>
    <font>
      <b/>
      <sz val="14"/>
      <color theme="1"/>
      <name val="Times New Roman"/>
      <family val="1"/>
    </font>
    <font>
      <sz val="14"/>
      <color theme="1"/>
      <name val="Times New Roman"/>
      <family val="1"/>
    </font>
    <font>
      <sz val="13"/>
      <color theme="1"/>
      <name val="Times New Roman"/>
      <family val="1"/>
    </font>
    <font>
      <b/>
      <sz val="11"/>
      <color theme="1"/>
      <name val="Times New Roman"/>
      <family val="1"/>
    </font>
    <font>
      <sz val="14"/>
      <color rgb="FFFF0000"/>
      <name val="Times New Roman"/>
      <family val="1"/>
    </font>
    <font>
      <sz val="14"/>
      <color theme="0" tint="-0.1499900072813034"/>
      <name val="Times New Roman"/>
      <family val="1"/>
    </font>
    <font>
      <sz val="12"/>
      <color theme="1"/>
      <name val="Times New Roman"/>
      <family val="1"/>
    </font>
    <font>
      <sz val="9"/>
      <color theme="1"/>
      <name val="Times New Roman"/>
      <family val="1"/>
    </font>
    <font>
      <sz val="14"/>
      <color theme="0"/>
      <name val="Times New Roman"/>
      <family val="1"/>
    </font>
    <font>
      <sz val="10"/>
      <color rgb="FFFF0000"/>
      <name val="Times New Roman"/>
      <family val="1"/>
    </font>
    <font>
      <b/>
      <sz val="10"/>
      <color theme="1"/>
      <name val="Calibri"/>
      <family val="2"/>
    </font>
    <font>
      <u val="single"/>
      <sz val="14"/>
      <color theme="1"/>
      <name val="Times New Roman"/>
      <family val="1"/>
    </font>
    <font>
      <sz val="10"/>
      <color theme="0"/>
      <name val="Calibri"/>
      <family val="2"/>
    </font>
    <font>
      <sz val="24"/>
      <color theme="1"/>
      <name val="Calibri"/>
      <family val="2"/>
    </font>
    <font>
      <sz val="9"/>
      <color theme="1"/>
      <name val="Calibri"/>
      <family val="2"/>
    </font>
    <font>
      <sz val="26"/>
      <color theme="1"/>
      <name val="Times New Roman"/>
      <family val="1"/>
    </font>
    <font>
      <b/>
      <sz val="10"/>
      <color theme="1"/>
      <name val="Times New Roman"/>
      <family val="1"/>
    </font>
    <font>
      <sz val="26"/>
      <color theme="3" tint="0.39998000860214233"/>
      <name val="Times New Roman"/>
      <family val="1"/>
    </font>
    <font>
      <sz val="36"/>
      <color rgb="FFFF0000"/>
      <name val="Times New Roman"/>
      <family val="1"/>
    </font>
    <font>
      <b/>
      <sz val="28"/>
      <color theme="0"/>
      <name val="Times New Roman"/>
      <family val="1"/>
    </font>
    <font>
      <b/>
      <sz val="15"/>
      <color theme="9" tint="-0.4999699890613556"/>
      <name val="Times New Roman"/>
      <family val="1"/>
    </font>
    <font>
      <b/>
      <sz val="14"/>
      <color rgb="FFC00000"/>
      <name val="Calibri"/>
      <family val="2"/>
    </font>
    <font>
      <sz val="16"/>
      <color theme="0"/>
      <name val="Times New Roman"/>
      <family val="1"/>
    </font>
    <font>
      <b/>
      <sz val="16"/>
      <color theme="10"/>
      <name val="Calibri"/>
      <family val="2"/>
    </font>
    <font>
      <b/>
      <sz val="16"/>
      <color theme="1"/>
      <name val="Calibri"/>
      <family val="2"/>
    </font>
    <font>
      <b/>
      <sz val="14"/>
      <color theme="8" tint="-0.4999699890613556"/>
      <name val="Times New Roman"/>
      <family val="1"/>
    </font>
    <font>
      <sz val="16"/>
      <color theme="1"/>
      <name val="Times New Roman"/>
      <family val="1"/>
    </font>
    <font>
      <sz val="18"/>
      <color theme="0"/>
      <name val="Times New Roman"/>
      <family val="1"/>
    </font>
    <font>
      <b/>
      <sz val="16"/>
      <color theme="1"/>
      <name val="Times New Roman"/>
      <family val="1"/>
    </font>
    <font>
      <sz val="15"/>
      <color theme="1"/>
      <name val="Times New Roman"/>
      <family val="1"/>
    </font>
    <font>
      <sz val="10"/>
      <color theme="1"/>
      <name val="Times New Roman"/>
      <family val="1"/>
    </font>
    <font>
      <sz val="22"/>
      <color theme="1"/>
      <name val="Calibri"/>
      <family val="2"/>
    </font>
    <font>
      <sz val="14"/>
      <color theme="1"/>
      <name val="Calibri"/>
      <family val="2"/>
    </font>
    <font>
      <b/>
      <sz val="8"/>
      <name val="Calibri"/>
      <family val="2"/>
    </font>
  </fonts>
  <fills count="8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gray0625">
        <fgColor theme="9" tint="0.5999600291252136"/>
        <bgColor theme="0"/>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patternFill patternType="solid">
        <fgColor rgb="FFFF7C80"/>
        <bgColor indexed="64"/>
      </patternFill>
    </fill>
    <fill>
      <patternFill patternType="lightVertical">
        <bgColor theme="6" tint="0.3999499976634979"/>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patternFill patternType="solid">
        <fgColor theme="3" tint="0.7999799847602844"/>
        <bgColor indexed="64"/>
      </patternFill>
    </fill>
    <fill>
      <patternFill patternType="solid">
        <fgColor theme="1" tint="0.49998000264167786"/>
        <bgColor indexed="64"/>
      </patternFill>
    </fill>
    <fill>
      <patternFill patternType="solid">
        <fgColor rgb="FFFF0000"/>
        <bgColor indexed="64"/>
      </patternFill>
    </fill>
    <fill>
      <patternFill patternType="solid">
        <fgColor theme="2"/>
        <bgColor indexed="64"/>
      </patternFill>
    </fill>
    <fill>
      <patternFill patternType="solid">
        <fgColor rgb="FF00B050"/>
        <bgColor indexed="64"/>
      </patternFill>
    </fill>
    <fill>
      <patternFill patternType="solid">
        <fgColor theme="3" tint="0.5999900102615356"/>
        <bgColor indexed="64"/>
      </patternFill>
    </fill>
    <fill>
      <gradientFill degree="90">
        <stop position="0">
          <color theme="3" tint="0.8000100255012512"/>
        </stop>
        <stop position="0.5">
          <color theme="3" tint="0.40000998973846436"/>
        </stop>
        <stop position="1">
          <color theme="3" tint="0.8000100255012512"/>
        </stop>
      </gradientFill>
    </fill>
    <fill>
      <patternFill patternType="solid">
        <fgColor theme="0" tint="-0.04997999966144562"/>
        <bgColor indexed="64"/>
      </patternFill>
    </fill>
    <fill>
      <patternFill patternType="lightGrid"/>
    </fill>
    <fill>
      <patternFill patternType="darkGrid">
        <fgColor theme="7" tint="0.7999799847602844"/>
      </patternFill>
    </fill>
    <fill>
      <patternFill patternType="solid">
        <fgColor theme="9" tint="-0.24997000396251678"/>
        <bgColor indexed="64"/>
      </patternFill>
    </fill>
    <fill>
      <gradientFill degree="90">
        <stop position="0">
          <color theme="3" tint="0.8000100255012512"/>
        </stop>
        <stop position="0.5">
          <color theme="3" tint="0.40000998973846436"/>
        </stop>
        <stop position="1">
          <color theme="3" tint="0.8000100255012512"/>
        </stop>
      </gradientFill>
    </fill>
    <fill>
      <patternFill patternType="gray0625">
        <fgColor theme="4" tint="0.7999799847602844"/>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patternFill patternType="lightGrid">
        <fgColor theme="0"/>
        <bgColor theme="4" tint="0.7999500036239624"/>
      </patternFill>
    </fill>
    <fill>
      <patternFill patternType="lightGrid">
        <fgColor theme="8" tint="0.7999799847602844"/>
      </patternFill>
    </fill>
    <fill>
      <patternFill patternType="solid">
        <fgColor theme="8" tint="-0.24993999302387238"/>
        <bgColor indexed="64"/>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patternFill patternType="solid">
        <fgColor rgb="FFCC99FF"/>
        <bgColor indexed="64"/>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bottom style="medium"/>
    </border>
    <border>
      <left/>
      <right/>
      <top/>
      <bottom style="medium"/>
    </border>
    <border>
      <left/>
      <right style="thin"/>
      <top/>
      <bottom style="medium"/>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top style="medium"/>
      <bottom/>
    </border>
    <border>
      <left style="thin"/>
      <right style="thin"/>
      <top style="thin"/>
      <bottom/>
    </border>
    <border>
      <left style="double">
        <color theme="3" tint="-0.4999699890613556"/>
      </left>
      <right/>
      <top/>
      <bottom/>
    </border>
    <border>
      <left/>
      <right style="double">
        <color theme="3" tint="-0.4999699890613556"/>
      </right>
      <top/>
      <bottom/>
    </border>
    <border>
      <left style="double">
        <color theme="3" tint="-0.4999699890613556"/>
      </left>
      <right/>
      <top/>
      <bottom style="double">
        <color theme="3" tint="-0.4999699890613556"/>
      </bottom>
    </border>
    <border>
      <left/>
      <right/>
      <top/>
      <bottom style="double">
        <color theme="3" tint="-0.4999699890613556"/>
      </bottom>
    </border>
    <border>
      <left/>
      <right style="double">
        <color theme="3" tint="-0.4999699890613556"/>
      </right>
      <top/>
      <bottom style="double">
        <color theme="3" tint="-0.4999699890613556"/>
      </bottom>
    </border>
    <border>
      <left/>
      <right/>
      <top style="double">
        <color theme="3" tint="-0.4999699890613556"/>
      </top>
      <bottom style="double">
        <color theme="9" tint="-0.4999699890613556"/>
      </bottom>
    </border>
    <border>
      <left style="double">
        <color theme="3" tint="-0.4999699890613556"/>
      </left>
      <right style="double">
        <color rgb="FFC00000"/>
      </right>
      <top/>
      <bottom/>
    </border>
    <border>
      <left style="double">
        <color rgb="FFC00000"/>
      </left>
      <right style="double">
        <color theme="3" tint="-0.4999699890613556"/>
      </right>
      <top/>
      <bottom/>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double">
        <color rgb="FFC00000"/>
      </left>
      <right>
        <color indexed="63"/>
      </right>
      <top>
        <color indexed="63"/>
      </top>
      <bottom style="double">
        <color theme="3" tint="-0.4999699890613556"/>
      </bottom>
    </border>
    <border>
      <left/>
      <right/>
      <top/>
      <bottom style="double">
        <color theme="9" tint="-0.4999699890613556"/>
      </bottom>
    </border>
    <border>
      <left/>
      <right style="double">
        <color theme="9" tint="-0.4999699890613556"/>
      </right>
      <top style="double">
        <color theme="9" tint="-0.4999699890613556"/>
      </top>
      <bottom/>
    </border>
    <border>
      <left/>
      <right style="double">
        <color theme="9" tint="-0.4999699890613556"/>
      </right>
      <top/>
      <bottom/>
    </border>
    <border>
      <left>
        <color indexed="63"/>
      </left>
      <right style="double">
        <color theme="9" tint="-0.4999699890613556"/>
      </right>
      <top>
        <color indexed="63"/>
      </top>
      <bottom style="double">
        <color theme="9" tint="-0.4999699890613556"/>
      </bottom>
    </border>
    <border>
      <left style="hair"/>
      <right style="thin"/>
      <top style="thin"/>
      <bottom style="hair"/>
    </border>
    <border>
      <left style="thin"/>
      <right style="thin"/>
      <top>
        <color indexed="63"/>
      </top>
      <bottom>
        <color indexed="63"/>
      </bottom>
    </border>
    <border>
      <left style="thin"/>
      <right style="thin"/>
      <top/>
      <bottom style="thin"/>
    </border>
    <border>
      <left style="thin"/>
      <right style="thin"/>
      <top/>
      <bottom style="medium"/>
    </border>
    <border>
      <left style="thin"/>
      <right style="thin"/>
      <top style="medium"/>
      <bottom style="medium"/>
    </border>
    <border>
      <left style="thin"/>
      <right style="thin"/>
      <top style="medium"/>
      <bottom/>
    </border>
    <border>
      <left style="medium"/>
      <right/>
      <top style="medium"/>
      <bottom/>
    </border>
    <border>
      <left/>
      <right style="thin"/>
      <top style="medium"/>
      <bottom/>
    </border>
    <border>
      <left style="medium"/>
      <right/>
      <top/>
      <bottom/>
    </border>
    <border>
      <left style="medium"/>
      <right/>
      <top/>
      <bottom style="medium"/>
    </border>
    <border>
      <left/>
      <right/>
      <top style="double">
        <color theme="9" tint="-0.4999699890613556"/>
      </top>
      <bottom/>
    </border>
    <border>
      <left/>
      <right style="double"/>
      <top style="double">
        <color theme="9" tint="-0.4999699890613556"/>
      </top>
      <bottom/>
    </border>
    <border>
      <left/>
      <right style="double"/>
      <top/>
      <bottom/>
    </border>
    <border>
      <left/>
      <right style="double"/>
      <top/>
      <bottom style="double">
        <color theme="9" tint="-0.4999699890613556"/>
      </bottom>
    </border>
    <border>
      <left/>
      <right style="double">
        <color theme="3" tint="-0.4999699890613556"/>
      </right>
      <top style="double">
        <color theme="3" tint="-0.4999699890613556"/>
      </top>
      <bottom/>
    </border>
    <border>
      <left style="double">
        <color theme="3" tint="-0.4999699890613556"/>
      </left>
      <right/>
      <top style="double">
        <color theme="3" tint="-0.4999699890613556"/>
      </top>
      <bottom/>
    </border>
    <border>
      <left/>
      <right/>
      <top style="double">
        <color theme="3" tint="-0.4999699890613556"/>
      </top>
      <bottom/>
    </border>
    <border>
      <left style="double">
        <color rgb="FFC00000"/>
      </left>
      <right>
        <color indexed="63"/>
      </right>
      <top style="thin"/>
      <bottom style="thin"/>
    </border>
    <border>
      <left/>
      <right style="double">
        <color rgb="FFC00000"/>
      </right>
      <top style="thin"/>
      <bottom style="thin"/>
    </border>
    <border>
      <left style="dashed">
        <color theme="3" tint="-0.4999699890613556"/>
      </left>
      <right style="dashed">
        <color theme="3" tint="-0.4999699890613556"/>
      </right>
      <top style="double">
        <color theme="3" tint="-0.4999699890613556"/>
      </top>
      <bottom/>
    </border>
    <border>
      <left style="dashed">
        <color theme="3" tint="-0.4999699890613556"/>
      </left>
      <right style="dashed">
        <color theme="3" tint="-0.4999699890613556"/>
      </right>
      <top/>
      <bottom/>
    </border>
    <border>
      <left style="dashed">
        <color theme="3" tint="-0.4999699890613556"/>
      </left>
      <right style="dashed">
        <color theme="3" tint="-0.4999699890613556"/>
      </right>
      <top/>
      <bottom style="dashed">
        <color theme="3" tint="-0.4999699890613556"/>
      </bottom>
    </border>
    <border>
      <left style="double"/>
      <right/>
      <top style="double"/>
      <bottom/>
    </border>
    <border>
      <left/>
      <right/>
      <top style="double"/>
      <bottom/>
    </border>
    <border>
      <left style="double"/>
      <right/>
      <top/>
      <bottom/>
    </border>
    <border>
      <left style="double"/>
      <right/>
      <top/>
      <bottom style="double"/>
    </border>
    <border>
      <left/>
      <right/>
      <top/>
      <bottom style="double"/>
    </border>
    <border>
      <left>
        <color indexed="63"/>
      </left>
      <right>
        <color indexed="63"/>
      </right>
      <top style="double">
        <color theme="9" tint="-0.4999699890613556"/>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right style="double">
        <color rgb="FFC00000"/>
      </right>
      <top style="double"/>
      <bottom/>
    </border>
    <border>
      <left/>
      <right style="double">
        <color rgb="FFC00000"/>
      </right>
      <top/>
      <bottom/>
    </border>
    <border>
      <left/>
      <right style="double">
        <color rgb="FFC00000"/>
      </right>
      <top/>
      <bottom style="double"/>
    </border>
    <border>
      <left style="double">
        <color rgb="FFC00000"/>
      </left>
      <right/>
      <top/>
      <bottom/>
    </border>
    <border>
      <left style="thin"/>
      <right style="hair"/>
      <top style="hair"/>
      <bottom style="thin"/>
    </border>
    <border>
      <left/>
      <right/>
      <top style="thin"/>
      <bottom style="medium"/>
    </border>
    <border>
      <left/>
      <right style="thin"/>
      <top style="thin"/>
      <bottom style="medium"/>
    </border>
    <border>
      <left/>
      <right/>
      <top style="medium"/>
      <bottom style="thin"/>
    </border>
    <border>
      <left/>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29" borderId="0" applyNumberFormat="0" applyBorder="0" applyAlignment="0" applyProtection="0"/>
    <xf numFmtId="0" fontId="126" fillId="0" borderId="3" applyNumberFormat="0" applyFill="0" applyAlignment="0" applyProtection="0"/>
    <xf numFmtId="0" fontId="127" fillId="0" borderId="4" applyNumberFormat="0" applyFill="0" applyAlignment="0" applyProtection="0"/>
    <xf numFmtId="0" fontId="128" fillId="0" borderId="5"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27" fillId="0" borderId="0">
      <alignment/>
      <protection/>
    </xf>
    <xf numFmtId="0" fontId="27" fillId="0" borderId="0">
      <alignment/>
      <protection/>
    </xf>
    <xf numFmtId="0" fontId="0" fillId="32" borderId="7" applyNumberFormat="0" applyFont="0" applyAlignment="0" applyProtection="0"/>
    <xf numFmtId="0" fontId="133" fillId="27" borderId="8" applyNumberFormat="0" applyAlignment="0" applyProtection="0"/>
    <xf numFmtId="9" fontId="0"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830">
    <xf numFmtId="0" fontId="0" fillId="0" borderId="0" xfId="0" applyFont="1" applyAlignment="1">
      <alignment/>
    </xf>
    <xf numFmtId="0" fontId="137" fillId="0" borderId="0" xfId="0" applyFont="1" applyAlignment="1" applyProtection="1">
      <alignment vertical="center"/>
      <protection locked="0"/>
    </xf>
    <xf numFmtId="0" fontId="137" fillId="0" borderId="0" xfId="0" applyFont="1" applyAlignment="1" applyProtection="1">
      <alignment horizontal="center" vertical="center"/>
      <protection locked="0"/>
    </xf>
    <xf numFmtId="0" fontId="137" fillId="0" borderId="0" xfId="0" applyFont="1" applyAlignment="1" applyProtection="1">
      <alignment horizontal="right" vertical="center"/>
      <protection locked="0"/>
    </xf>
    <xf numFmtId="0" fontId="0" fillId="33" borderId="10" xfId="0" applyFont="1" applyFill="1" applyBorder="1" applyAlignment="1" applyProtection="1">
      <alignment vertical="center"/>
      <protection locked="0"/>
    </xf>
    <xf numFmtId="0" fontId="1" fillId="33" borderId="10" xfId="0" applyFont="1" applyFill="1" applyBorder="1" applyAlignment="1" applyProtection="1">
      <alignment vertical="center"/>
      <protection locked="0"/>
    </xf>
    <xf numFmtId="0" fontId="138" fillId="33" borderId="11" xfId="0" applyFont="1" applyFill="1" applyBorder="1" applyAlignment="1" applyProtection="1">
      <alignment vertical="center"/>
      <protection locked="0"/>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xf>
    <xf numFmtId="0" fontId="3" fillId="0" borderId="0" xfId="0" applyFont="1" applyAlignment="1">
      <alignment vertical="center"/>
    </xf>
    <xf numFmtId="0" fontId="3"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vertical="center"/>
    </xf>
    <xf numFmtId="0" fontId="5" fillId="0" borderId="15" xfId="0" applyFont="1" applyBorder="1" applyAlignment="1">
      <alignment horizontal="right" vertical="center"/>
    </xf>
    <xf numFmtId="0" fontId="5" fillId="0" borderId="17"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3" fillId="0" borderId="0" xfId="0" applyFont="1"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horizontal="left" vertical="center"/>
    </xf>
    <xf numFmtId="0" fontId="5" fillId="0" borderId="20" xfId="0" applyFont="1" applyBorder="1" applyAlignment="1">
      <alignment vertical="center"/>
    </xf>
    <xf numFmtId="0" fontId="5" fillId="0" borderId="20" xfId="0" applyFont="1" applyBorder="1" applyAlignment="1">
      <alignment horizontal="righ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5" fillId="0" borderId="17" xfId="0" applyFont="1" applyBorder="1" applyAlignment="1">
      <alignment horizontal="right" vertical="center"/>
    </xf>
    <xf numFmtId="0" fontId="3" fillId="0" borderId="18" xfId="0" applyFont="1" applyBorder="1" applyAlignment="1">
      <alignment horizontal="left" vertical="center"/>
    </xf>
    <xf numFmtId="43" fontId="3" fillId="0" borderId="13" xfId="42" applyFont="1" applyBorder="1" applyAlignment="1">
      <alignment vertical="center"/>
    </xf>
    <xf numFmtId="43" fontId="3" fillId="0" borderId="22" xfId="42" applyFont="1" applyBorder="1" applyAlignment="1">
      <alignment vertical="center"/>
    </xf>
    <xf numFmtId="0" fontId="5" fillId="0" borderId="12" xfId="0" applyFont="1" applyBorder="1" applyAlignment="1">
      <alignment horizontal="righ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2" xfId="0" applyFont="1" applyBorder="1" applyAlignment="1">
      <alignment horizontal="lef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22" xfId="0" applyFont="1" applyBorder="1" applyAlignment="1">
      <alignment vertical="center"/>
    </xf>
    <xf numFmtId="2" fontId="3" fillId="0" borderId="15" xfId="0" applyNumberFormat="1" applyFont="1" applyBorder="1" applyAlignment="1">
      <alignment horizontal="left" vertical="center" indent="1"/>
    </xf>
    <xf numFmtId="2" fontId="3" fillId="0" borderId="0" xfId="0" applyNumberFormat="1" applyFont="1" applyBorder="1" applyAlignment="1">
      <alignment horizontal="left" vertical="center" indent="1"/>
    </xf>
    <xf numFmtId="2" fontId="3" fillId="0" borderId="20" xfId="0" applyNumberFormat="1" applyFont="1" applyBorder="1" applyAlignment="1">
      <alignment horizontal="left" vertical="center" indent="1"/>
    </xf>
    <xf numFmtId="0" fontId="5" fillId="0" borderId="23" xfId="0" applyFont="1" applyBorder="1" applyAlignment="1">
      <alignment horizontal="right" vertical="center"/>
    </xf>
    <xf numFmtId="0" fontId="5" fillId="0" borderId="24" xfId="0" applyFont="1" applyBorder="1" applyAlignment="1">
      <alignment vertical="center"/>
    </xf>
    <xf numFmtId="2" fontId="3" fillId="0" borderId="24" xfId="0" applyNumberFormat="1" applyFont="1" applyBorder="1" applyAlignment="1">
      <alignment horizontal="left" vertical="center" inden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vertical="center"/>
    </xf>
    <xf numFmtId="2" fontId="3" fillId="0" borderId="27" xfId="0" applyNumberFormat="1" applyFont="1" applyBorder="1" applyAlignment="1">
      <alignment vertical="center"/>
    </xf>
    <xf numFmtId="2" fontId="3" fillId="0" borderId="28" xfId="0" applyNumberFormat="1" applyFont="1" applyBorder="1" applyAlignment="1">
      <alignment vertical="center"/>
    </xf>
    <xf numFmtId="0" fontId="5" fillId="0" borderId="0" xfId="0" applyFont="1" applyBorder="1" applyAlignment="1">
      <alignment horizontal="left" vertical="center"/>
    </xf>
    <xf numFmtId="43" fontId="3" fillId="0" borderId="0" xfId="42" applyFont="1" applyBorder="1" applyAlignment="1">
      <alignment horizontal="center" vertical="center"/>
    </xf>
    <xf numFmtId="43" fontId="3" fillId="0" borderId="0" xfId="42" applyFont="1" applyBorder="1" applyAlignment="1">
      <alignment vertical="center"/>
    </xf>
    <xf numFmtId="0" fontId="5" fillId="0" borderId="29" xfId="0" applyFont="1" applyBorder="1" applyAlignment="1">
      <alignment horizontal="left" vertical="center"/>
    </xf>
    <xf numFmtId="0" fontId="5" fillId="0" borderId="30" xfId="0" applyFont="1" applyBorder="1" applyAlignment="1">
      <alignmen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3" fillId="0" borderId="22" xfId="0" applyFont="1" applyBorder="1" applyAlignment="1">
      <alignment horizontal="left" vertical="center"/>
    </xf>
    <xf numFmtId="0" fontId="5" fillId="0" borderId="2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horizontal="left" vertical="center"/>
    </xf>
    <xf numFmtId="0" fontId="5" fillId="0" borderId="28" xfId="0" applyFont="1" applyBorder="1" applyAlignment="1">
      <alignment horizontal="left" vertical="center"/>
    </xf>
    <xf numFmtId="0" fontId="5" fillId="0" borderId="27" xfId="0" applyFont="1" applyBorder="1" applyAlignment="1">
      <alignment horizontal="right" vertical="center"/>
    </xf>
    <xf numFmtId="43" fontId="3" fillId="0" borderId="20" xfId="42" applyFont="1" applyBorder="1" applyAlignment="1">
      <alignment vertical="center"/>
    </xf>
    <xf numFmtId="43" fontId="3" fillId="0" borderId="21" xfId="42" applyFont="1" applyBorder="1" applyAlignment="1">
      <alignment vertical="center"/>
    </xf>
    <xf numFmtId="0" fontId="5" fillId="0" borderId="12" xfId="0" applyFont="1" applyBorder="1" applyAlignment="1">
      <alignment vertical="center"/>
    </xf>
    <xf numFmtId="0" fontId="5" fillId="0" borderId="22" xfId="0" applyFont="1" applyBorder="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5" fillId="0" borderId="13" xfId="0" applyFont="1" applyBorder="1" applyAlignment="1">
      <alignment horizontal="right" vertical="center"/>
    </xf>
    <xf numFmtId="0" fontId="6" fillId="0" borderId="16" xfId="0" applyFont="1" applyBorder="1" applyAlignment="1">
      <alignment horizontal="left" vertical="center"/>
    </xf>
    <xf numFmtId="0" fontId="6" fillId="0" borderId="13" xfId="0" applyFont="1" applyBorder="1" applyAlignment="1">
      <alignment vertical="center"/>
    </xf>
    <xf numFmtId="0" fontId="6" fillId="0" borderId="0" xfId="0" applyFont="1" applyBorder="1" applyAlignment="1">
      <alignment horizontal="left" vertical="center"/>
    </xf>
    <xf numFmtId="43" fontId="3" fillId="0" borderId="18" xfId="42" applyFont="1" applyBorder="1" applyAlignment="1">
      <alignment vertical="center"/>
    </xf>
    <xf numFmtId="0" fontId="10" fillId="0" borderId="0" xfId="0" applyFont="1" applyAlignment="1">
      <alignment vertical="center"/>
    </xf>
    <xf numFmtId="0" fontId="5"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0" fontId="5" fillId="0" borderId="10" xfId="0" applyFont="1" applyBorder="1" applyAlignment="1">
      <alignment vertical="center"/>
    </xf>
    <xf numFmtId="0" fontId="6" fillId="0" borderId="10" xfId="0" applyFont="1" applyBorder="1" applyAlignment="1">
      <alignment horizontal="center" vertical="center" wrapText="1"/>
    </xf>
    <xf numFmtId="0" fontId="11" fillId="0" borderId="17" xfId="0" applyFont="1" applyBorder="1" applyAlignment="1" applyProtection="1">
      <alignment/>
      <protection locked="0"/>
    </xf>
    <xf numFmtId="0" fontId="11" fillId="0" borderId="0" xfId="0" applyFont="1" applyBorder="1" applyAlignment="1" applyProtection="1">
      <alignment/>
      <protection/>
    </xf>
    <xf numFmtId="0" fontId="11" fillId="0" borderId="0" xfId="0" applyFont="1" applyBorder="1" applyAlignment="1" applyProtection="1">
      <alignment/>
      <protection/>
    </xf>
    <xf numFmtId="0" fontId="11" fillId="0" borderId="20" xfId="0" applyFont="1" applyBorder="1" applyAlignment="1" applyProtection="1">
      <alignment/>
      <protection/>
    </xf>
    <xf numFmtId="0" fontId="11" fillId="0" borderId="21" xfId="0" applyFont="1" applyBorder="1" applyAlignment="1" applyProtection="1">
      <alignment/>
      <protection/>
    </xf>
    <xf numFmtId="0" fontId="11" fillId="0" borderId="0" xfId="0" applyFont="1" applyBorder="1" applyAlignment="1" applyProtection="1">
      <alignment/>
      <protection locked="0"/>
    </xf>
    <xf numFmtId="0" fontId="11" fillId="0" borderId="18" xfId="0" applyFont="1" applyBorder="1" applyAlignment="1" applyProtection="1">
      <alignment/>
      <protection/>
    </xf>
    <xf numFmtId="0" fontId="11" fillId="0" borderId="20" xfId="0" applyFont="1" applyBorder="1" applyAlignment="1" applyProtection="1">
      <alignment/>
      <protection locked="0"/>
    </xf>
    <xf numFmtId="0" fontId="11" fillId="0" borderId="17" xfId="0" applyFont="1" applyBorder="1" applyAlignment="1" applyProtection="1">
      <alignment/>
      <protection/>
    </xf>
    <xf numFmtId="0" fontId="21" fillId="0" borderId="0" xfId="0" applyFont="1" applyBorder="1" applyAlignment="1" applyProtection="1">
      <alignment/>
      <protection locked="0"/>
    </xf>
    <xf numFmtId="0" fontId="11" fillId="0" borderId="0" xfId="0" applyFont="1" applyFill="1" applyBorder="1" applyAlignment="1" applyProtection="1">
      <alignment/>
      <protection/>
    </xf>
    <xf numFmtId="0" fontId="11" fillId="0" borderId="0" xfId="0" applyFont="1" applyBorder="1" applyAlignment="1" applyProtection="1">
      <alignment horizontal="centerContinuous" vertical="center"/>
      <protection/>
    </xf>
    <xf numFmtId="0" fontId="11" fillId="0" borderId="18" xfId="0" applyFont="1" applyBorder="1" applyAlignment="1" applyProtection="1">
      <alignment horizontal="centerContinuous" vertical="center"/>
      <protection/>
    </xf>
    <xf numFmtId="0" fontId="24" fillId="0" borderId="19" xfId="0" applyFont="1" applyBorder="1" applyAlignment="1" applyProtection="1">
      <alignment/>
      <protection/>
    </xf>
    <xf numFmtId="0" fontId="11" fillId="0" borderId="0" xfId="0" applyFont="1" applyAlignment="1" applyProtection="1">
      <alignment/>
      <protection locked="0"/>
    </xf>
    <xf numFmtId="0" fontId="11" fillId="0" borderId="16" xfId="0" applyFont="1" applyBorder="1" applyAlignment="1" applyProtection="1">
      <alignment/>
      <protection locked="0"/>
    </xf>
    <xf numFmtId="0" fontId="22" fillId="0" borderId="0" xfId="0" applyFont="1" applyBorder="1" applyAlignment="1" applyProtection="1">
      <alignment/>
      <protection locked="0"/>
    </xf>
    <xf numFmtId="40" fontId="15" fillId="0" borderId="0" xfId="0" applyNumberFormat="1" applyFont="1" applyBorder="1" applyAlignment="1" applyProtection="1">
      <alignment/>
      <protection locked="0"/>
    </xf>
    <xf numFmtId="0" fontId="11" fillId="0" borderId="18" xfId="0" applyFont="1" applyBorder="1" applyAlignment="1" applyProtection="1">
      <alignment/>
      <protection locked="0"/>
    </xf>
    <xf numFmtId="2" fontId="25" fillId="0" borderId="0" xfId="0" applyNumberFormat="1" applyFont="1" applyBorder="1" applyAlignment="1" applyProtection="1">
      <alignment/>
      <protection locked="0"/>
    </xf>
    <xf numFmtId="166" fontId="11" fillId="0" borderId="0" xfId="0" applyNumberFormat="1" applyFont="1" applyBorder="1" applyAlignment="1" applyProtection="1">
      <alignment/>
      <protection locked="0"/>
    </xf>
    <xf numFmtId="0" fontId="11" fillId="0" borderId="0" xfId="0" applyFont="1" applyBorder="1" applyAlignment="1" applyProtection="1">
      <alignment vertical="top" wrapText="1"/>
      <protection locked="0"/>
    </xf>
    <xf numFmtId="0" fontId="15" fillId="0" borderId="0" xfId="0" applyFont="1" applyBorder="1" applyAlignment="1" applyProtection="1">
      <alignment/>
      <protection locked="0"/>
    </xf>
    <xf numFmtId="0" fontId="13" fillId="0" borderId="0" xfId="0" applyFont="1" applyBorder="1" applyAlignment="1" applyProtection="1">
      <alignment/>
      <protection locked="0"/>
    </xf>
    <xf numFmtId="0" fontId="16" fillId="0" borderId="0" xfId="0" applyFont="1" applyBorder="1" applyAlignment="1" applyProtection="1">
      <alignment/>
      <protection locked="0"/>
    </xf>
    <xf numFmtId="0" fontId="27" fillId="0" borderId="0" xfId="0" applyFont="1" applyBorder="1" applyAlignment="1" applyProtection="1">
      <alignment/>
      <protection locked="0"/>
    </xf>
    <xf numFmtId="0" fontId="11" fillId="0" borderId="0" xfId="0" applyFont="1" applyBorder="1" applyAlignment="1" applyProtection="1">
      <alignment horizontal="centerContinuous"/>
      <protection locked="0"/>
    </xf>
    <xf numFmtId="0" fontId="11" fillId="0" borderId="0" xfId="0" applyFont="1" applyBorder="1" applyAlignment="1" applyProtection="1">
      <alignment horizontal="centerContinuous" vertical="center"/>
      <protection locked="0"/>
    </xf>
    <xf numFmtId="2" fontId="11" fillId="0" borderId="0" xfId="0" applyNumberFormat="1" applyFont="1" applyBorder="1" applyAlignment="1" applyProtection="1">
      <alignment/>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textRotation="90" wrapText="1"/>
      <protection locked="0"/>
    </xf>
    <xf numFmtId="0" fontId="11" fillId="0" borderId="19" xfId="0" applyFont="1" applyBorder="1" applyAlignment="1" applyProtection="1">
      <alignment/>
      <protection locked="0"/>
    </xf>
    <xf numFmtId="0" fontId="11" fillId="0" borderId="20" xfId="0" applyFont="1" applyBorder="1" applyAlignment="1" applyProtection="1">
      <alignment horizontal="center" vertical="center" wrapText="1"/>
      <protection locked="0"/>
    </xf>
    <xf numFmtId="0" fontId="11" fillId="0" borderId="21" xfId="0" applyFont="1" applyBorder="1" applyAlignment="1" applyProtection="1">
      <alignment/>
      <protection locked="0"/>
    </xf>
    <xf numFmtId="0" fontId="27" fillId="0" borderId="0" xfId="57" applyFont="1" applyAlignment="1">
      <alignment horizontal="center"/>
      <protection/>
    </xf>
    <xf numFmtId="0" fontId="29" fillId="0" borderId="0" xfId="57" applyFont="1">
      <alignment/>
      <protection/>
    </xf>
    <xf numFmtId="0" fontId="30" fillId="0" borderId="0" xfId="57" applyFont="1">
      <alignment/>
      <protection/>
    </xf>
    <xf numFmtId="0" fontId="27" fillId="0" borderId="0" xfId="57" applyFont="1">
      <alignment/>
      <protection/>
    </xf>
    <xf numFmtId="0" fontId="31" fillId="0" borderId="0" xfId="57" applyFont="1">
      <alignment/>
      <protection/>
    </xf>
    <xf numFmtId="0" fontId="32" fillId="0" borderId="0" xfId="57" applyFont="1">
      <alignment/>
      <protection/>
    </xf>
    <xf numFmtId="168" fontId="30" fillId="0" borderId="0" xfId="57" applyNumberFormat="1" applyFont="1" applyAlignment="1">
      <alignment horizontal="left"/>
      <protection/>
    </xf>
    <xf numFmtId="0" fontId="33" fillId="0" borderId="0" xfId="57" applyFont="1">
      <alignment/>
      <protection/>
    </xf>
    <xf numFmtId="0" fontId="34" fillId="0" borderId="0" xfId="57" applyFont="1" applyBorder="1">
      <alignment/>
      <protection/>
    </xf>
    <xf numFmtId="0" fontId="27" fillId="0" borderId="0" xfId="57" applyFont="1" applyBorder="1">
      <alignment/>
      <protection/>
    </xf>
    <xf numFmtId="0" fontId="35" fillId="0" borderId="0" xfId="57" applyFont="1">
      <alignment/>
      <protection/>
    </xf>
    <xf numFmtId="0" fontId="0" fillId="0" borderId="0" xfId="0" applyAlignment="1">
      <alignment horizontal="center" vertical="center"/>
    </xf>
    <xf numFmtId="0" fontId="0" fillId="0" borderId="0" xfId="0" applyBorder="1" applyAlignment="1">
      <alignment/>
    </xf>
    <xf numFmtId="0" fontId="137"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wrapText="1"/>
    </xf>
    <xf numFmtId="0" fontId="0" fillId="0" borderId="0" xfId="0" applyBorder="1" applyAlignment="1">
      <alignment vertical="center"/>
    </xf>
    <xf numFmtId="0" fontId="0" fillId="0" borderId="15" xfId="0" applyBorder="1" applyAlignment="1">
      <alignment wrapText="1"/>
    </xf>
    <xf numFmtId="0" fontId="139" fillId="0" borderId="0" xfId="0" applyFont="1" applyAlignment="1">
      <alignment vertical="top"/>
    </xf>
    <xf numFmtId="0" fontId="140" fillId="0" borderId="0" xfId="0" applyFont="1" applyAlignment="1">
      <alignment/>
    </xf>
    <xf numFmtId="0" fontId="141" fillId="0" borderId="0" xfId="0" applyFont="1" applyAlignment="1">
      <alignment horizontal="center" vertical="center"/>
    </xf>
    <xf numFmtId="0" fontId="142" fillId="0" borderId="0" xfId="0" applyFont="1" applyBorder="1" applyAlignment="1">
      <alignment horizontal="center" vertical="center"/>
    </xf>
    <xf numFmtId="0" fontId="142" fillId="0" borderId="17" xfId="0" applyFont="1" applyBorder="1" applyAlignment="1">
      <alignment horizontal="center" vertical="center"/>
    </xf>
    <xf numFmtId="0" fontId="27" fillId="34" borderId="0" xfId="58" applyFill="1" applyAlignment="1" applyProtection="1">
      <alignment horizontal="center" vertical="center"/>
      <protection hidden="1"/>
    </xf>
    <xf numFmtId="0" fontId="27" fillId="34" borderId="0" xfId="58" applyFont="1" applyFill="1" applyBorder="1" applyAlignment="1" applyProtection="1">
      <alignment horizontal="center" vertical="center"/>
      <protection hidden="1"/>
    </xf>
    <xf numFmtId="0" fontId="137" fillId="35" borderId="0" xfId="0" applyFont="1" applyFill="1" applyAlignment="1" applyProtection="1">
      <alignment vertical="center"/>
      <protection locked="0"/>
    </xf>
    <xf numFmtId="0" fontId="5" fillId="0" borderId="24" xfId="0" applyFont="1" applyBorder="1" applyAlignment="1">
      <alignment horizontal="right" vertical="center"/>
    </xf>
    <xf numFmtId="0" fontId="5" fillId="0" borderId="30" xfId="0" applyFont="1" applyBorder="1" applyAlignment="1">
      <alignment horizontal="right" vertical="center"/>
    </xf>
    <xf numFmtId="2" fontId="0" fillId="0" borderId="0" xfId="0" applyNumberFormat="1" applyAlignment="1">
      <alignment/>
    </xf>
    <xf numFmtId="0" fontId="143" fillId="36" borderId="31" xfId="0" applyFont="1" applyFill="1" applyBorder="1" applyAlignment="1" applyProtection="1">
      <alignment horizontal="center" vertical="center"/>
      <protection locked="0"/>
    </xf>
    <xf numFmtId="49" fontId="143" fillId="36" borderId="12" xfId="0" applyNumberFormat="1" applyFont="1" applyFill="1" applyBorder="1" applyAlignment="1" applyProtection="1">
      <alignment vertical="center"/>
      <protection locked="0"/>
    </xf>
    <xf numFmtId="0" fontId="144" fillId="37" borderId="10" xfId="0" applyFont="1" applyFill="1" applyBorder="1" applyAlignment="1" applyProtection="1">
      <alignment vertical="center"/>
      <protection/>
    </xf>
    <xf numFmtId="0" fontId="145" fillId="4" borderId="32" xfId="0" applyFont="1" applyFill="1" applyBorder="1" applyAlignment="1" applyProtection="1">
      <alignment horizontal="left" vertical="center"/>
      <protection/>
    </xf>
    <xf numFmtId="0" fontId="144" fillId="4" borderId="0" xfId="0" applyFont="1" applyFill="1" applyBorder="1" applyAlignment="1" applyProtection="1">
      <alignment horizontal="left" vertical="center"/>
      <protection/>
    </xf>
    <xf numFmtId="0" fontId="144" fillId="4" borderId="33" xfId="0" applyFont="1" applyFill="1" applyBorder="1" applyAlignment="1" applyProtection="1">
      <alignment horizontal="left" vertical="center"/>
      <protection/>
    </xf>
    <xf numFmtId="0" fontId="143" fillId="38" borderId="12" xfId="0" applyFont="1" applyFill="1" applyBorder="1" applyAlignment="1" applyProtection="1">
      <alignment vertical="center"/>
      <protection/>
    </xf>
    <xf numFmtId="0" fontId="144" fillId="4" borderId="32" xfId="0" applyFont="1" applyFill="1" applyBorder="1" applyAlignment="1" applyProtection="1">
      <alignment horizontal="left" vertical="center"/>
      <protection/>
    </xf>
    <xf numFmtId="0" fontId="144" fillId="39" borderId="22" xfId="0" applyFont="1" applyFill="1" applyBorder="1" applyAlignment="1" applyProtection="1">
      <alignment vertical="center"/>
      <protection/>
    </xf>
    <xf numFmtId="0" fontId="144" fillId="40" borderId="12" xfId="0" applyFont="1" applyFill="1" applyBorder="1" applyAlignment="1" applyProtection="1">
      <alignment vertical="center"/>
      <protection/>
    </xf>
    <xf numFmtId="0" fontId="144" fillId="41" borderId="31" xfId="0" applyFont="1" applyFill="1" applyBorder="1" applyAlignment="1" applyProtection="1">
      <alignment vertical="center"/>
      <protection/>
    </xf>
    <xf numFmtId="0" fontId="146" fillId="42" borderId="32" xfId="0" applyFont="1" applyFill="1" applyBorder="1" applyAlignment="1" applyProtection="1">
      <alignment/>
      <protection/>
    </xf>
    <xf numFmtId="0" fontId="143" fillId="42" borderId="0" xfId="0" applyFont="1" applyFill="1" applyBorder="1" applyAlignment="1" applyProtection="1">
      <alignment/>
      <protection/>
    </xf>
    <xf numFmtId="0" fontId="143" fillId="42" borderId="33" xfId="0" applyFont="1" applyFill="1" applyBorder="1" applyAlignment="1" applyProtection="1">
      <alignment/>
      <protection/>
    </xf>
    <xf numFmtId="0" fontId="146" fillId="42" borderId="34" xfId="0" applyFont="1" applyFill="1" applyBorder="1" applyAlignment="1" applyProtection="1">
      <alignment/>
      <protection/>
    </xf>
    <xf numFmtId="0" fontId="143" fillId="42" borderId="35" xfId="0" applyFont="1" applyFill="1" applyBorder="1" applyAlignment="1" applyProtection="1">
      <alignment/>
      <protection/>
    </xf>
    <xf numFmtId="0" fontId="143" fillId="42" borderId="36" xfId="0" applyFont="1" applyFill="1" applyBorder="1" applyAlignment="1" applyProtection="1">
      <alignment/>
      <protection/>
    </xf>
    <xf numFmtId="0" fontId="144" fillId="0" borderId="0" xfId="0" applyFont="1" applyAlignment="1" applyProtection="1">
      <alignment/>
      <protection locked="0"/>
    </xf>
    <xf numFmtId="0" fontId="144" fillId="43" borderId="37" xfId="0" applyFont="1" applyFill="1" applyBorder="1" applyAlignment="1" applyProtection="1">
      <alignment/>
      <protection locked="0"/>
    </xf>
    <xf numFmtId="0" fontId="144" fillId="43" borderId="38" xfId="0" applyFont="1" applyFill="1" applyBorder="1" applyAlignment="1" applyProtection="1">
      <alignment/>
      <protection locked="0"/>
    </xf>
    <xf numFmtId="0" fontId="144" fillId="44" borderId="12" xfId="0" applyFont="1" applyFill="1" applyBorder="1" applyAlignment="1" applyProtection="1">
      <alignment horizontal="left" vertical="center" wrapText="1"/>
      <protection locked="0"/>
    </xf>
    <xf numFmtId="0" fontId="144" fillId="43" borderId="39" xfId="0" applyFont="1" applyFill="1" applyBorder="1" applyAlignment="1" applyProtection="1">
      <alignment/>
      <protection locked="0"/>
    </xf>
    <xf numFmtId="0" fontId="144" fillId="45" borderId="10" xfId="0" applyFont="1" applyFill="1" applyBorder="1" applyAlignment="1" applyProtection="1">
      <alignment vertical="center"/>
      <protection locked="0"/>
    </xf>
    <xf numFmtId="0" fontId="144" fillId="46" borderId="12" xfId="0" applyFont="1" applyFill="1" applyBorder="1" applyAlignment="1" applyProtection="1">
      <alignment vertical="center"/>
      <protection locked="0"/>
    </xf>
    <xf numFmtId="0" fontId="144" fillId="0" borderId="10" xfId="0" applyFont="1" applyFill="1" applyBorder="1" applyAlignment="1" applyProtection="1">
      <alignment/>
      <protection locked="0"/>
    </xf>
    <xf numFmtId="0" fontId="144" fillId="0" borderId="15" xfId="0" applyFont="1" applyFill="1" applyBorder="1" applyAlignment="1" applyProtection="1">
      <alignment vertical="center"/>
      <protection locked="0"/>
    </xf>
    <xf numFmtId="0" fontId="144" fillId="0" borderId="0" xfId="0" applyFont="1" applyFill="1" applyAlignment="1" applyProtection="1">
      <alignment vertical="center"/>
      <protection locked="0"/>
    </xf>
    <xf numFmtId="0" fontId="144" fillId="0" borderId="0" xfId="0" applyFont="1" applyFill="1" applyAlignment="1" applyProtection="1">
      <alignment/>
      <protection locked="0"/>
    </xf>
    <xf numFmtId="0" fontId="144" fillId="47" borderId="0" xfId="0" applyFont="1" applyFill="1" applyAlignment="1" applyProtection="1">
      <alignment horizontal="left" vertical="center"/>
      <protection locked="0"/>
    </xf>
    <xf numFmtId="0" fontId="144" fillId="0" borderId="0" xfId="0" applyFont="1" applyAlignment="1" applyProtection="1">
      <alignment/>
      <protection locked="0"/>
    </xf>
    <xf numFmtId="0" fontId="144" fillId="35" borderId="0" xfId="0" applyFont="1" applyFill="1" applyAlignment="1" applyProtection="1">
      <alignment/>
      <protection locked="0"/>
    </xf>
    <xf numFmtId="0" fontId="144" fillId="35" borderId="0" xfId="0" applyFont="1" applyFill="1" applyAlignment="1" applyProtection="1">
      <alignment/>
      <protection locked="0"/>
    </xf>
    <xf numFmtId="0" fontId="147" fillId="35" borderId="0" xfId="0" applyFont="1" applyFill="1" applyAlignment="1" applyProtection="1">
      <alignment/>
      <protection locked="0"/>
    </xf>
    <xf numFmtId="0" fontId="147" fillId="0" borderId="0" xfId="0" applyFont="1" applyAlignment="1" applyProtection="1">
      <alignment/>
      <protection locked="0"/>
    </xf>
    <xf numFmtId="0" fontId="2" fillId="0" borderId="0" xfId="0" applyFont="1" applyAlignment="1" applyProtection="1">
      <alignment/>
      <protection locked="0"/>
    </xf>
    <xf numFmtId="0" fontId="2" fillId="48" borderId="0" xfId="0" applyFont="1" applyFill="1" applyAlignment="1" applyProtection="1">
      <alignment/>
      <protection locked="0"/>
    </xf>
    <xf numFmtId="0" fontId="148" fillId="0" borderId="0" xfId="0" applyFont="1" applyAlignment="1" applyProtection="1">
      <alignment/>
      <protection locked="0"/>
    </xf>
    <xf numFmtId="0" fontId="148" fillId="35" borderId="0" xfId="0" applyFont="1" applyFill="1" applyAlignment="1" applyProtection="1">
      <alignment/>
      <protection locked="0"/>
    </xf>
    <xf numFmtId="0" fontId="144" fillId="49" borderId="0" xfId="0" applyFont="1" applyFill="1" applyAlignment="1" applyProtection="1">
      <alignment/>
      <protection locked="0"/>
    </xf>
    <xf numFmtId="0" fontId="149" fillId="0" borderId="0" xfId="0" applyFont="1" applyAlignment="1" applyProtection="1">
      <alignment/>
      <protection locked="0"/>
    </xf>
    <xf numFmtId="0" fontId="2" fillId="35" borderId="0" xfId="0" applyFont="1" applyFill="1" applyAlignment="1" applyProtection="1">
      <alignment/>
      <protection locked="0"/>
    </xf>
    <xf numFmtId="17" fontId="144" fillId="0" borderId="0" xfId="0" applyNumberFormat="1" applyFont="1" applyAlignment="1" applyProtection="1">
      <alignment/>
      <protection locked="0"/>
    </xf>
    <xf numFmtId="0" fontId="144" fillId="9" borderId="0" xfId="0" applyFont="1" applyFill="1" applyAlignment="1" applyProtection="1">
      <alignment/>
      <protection locked="0"/>
    </xf>
    <xf numFmtId="0" fontId="143" fillId="35" borderId="0" xfId="0" applyFont="1" applyFill="1" applyAlignment="1" applyProtection="1">
      <alignment/>
      <protection locked="0"/>
    </xf>
    <xf numFmtId="0" fontId="144" fillId="2" borderId="0" xfId="0" applyFont="1" applyFill="1" applyAlignment="1" applyProtection="1">
      <alignment/>
      <protection locked="0"/>
    </xf>
    <xf numFmtId="0" fontId="144" fillId="50" borderId="0" xfId="0" applyFont="1" applyFill="1" applyAlignment="1" applyProtection="1">
      <alignment/>
      <protection locked="0"/>
    </xf>
    <xf numFmtId="0" fontId="0" fillId="0" borderId="0" xfId="0" applyAlignment="1" applyProtection="1">
      <alignment/>
      <protection locked="0"/>
    </xf>
    <xf numFmtId="0" fontId="144" fillId="35" borderId="0" xfId="0" applyFont="1" applyFill="1" applyAlignment="1" applyProtection="1">
      <alignment horizontal="center"/>
      <protection locked="0"/>
    </xf>
    <xf numFmtId="0" fontId="144" fillId="0" borderId="0" xfId="0" applyFont="1" applyAlignment="1" applyProtection="1" quotePrefix="1">
      <alignment/>
      <protection locked="0"/>
    </xf>
    <xf numFmtId="0" fontId="144" fillId="51" borderId="0" xfId="0" applyFont="1" applyFill="1" applyAlignment="1" applyProtection="1">
      <alignment/>
      <protection locked="0"/>
    </xf>
    <xf numFmtId="0" fontId="150" fillId="0" borderId="0" xfId="0" applyFont="1" applyAlignment="1" applyProtection="1">
      <alignment/>
      <protection locked="0"/>
    </xf>
    <xf numFmtId="0" fontId="151" fillId="0" borderId="0" xfId="0" applyFont="1" applyAlignment="1" applyProtection="1">
      <alignment/>
      <protection locked="0"/>
    </xf>
    <xf numFmtId="17" fontId="144" fillId="35" borderId="0" xfId="0" applyNumberFormat="1" applyFont="1" applyFill="1" applyAlignment="1" applyProtection="1">
      <alignment/>
      <protection locked="0"/>
    </xf>
    <xf numFmtId="9" fontId="144" fillId="0" borderId="0" xfId="0" applyNumberFormat="1" applyFont="1" applyAlignment="1" applyProtection="1">
      <alignment/>
      <protection locked="0"/>
    </xf>
    <xf numFmtId="0" fontId="144" fillId="52" borderId="0" xfId="0" applyFont="1" applyFill="1" applyAlignment="1" applyProtection="1">
      <alignment/>
      <protection locked="0"/>
    </xf>
    <xf numFmtId="0" fontId="144" fillId="0" borderId="14" xfId="0" applyFont="1" applyBorder="1" applyAlignment="1" applyProtection="1">
      <alignment/>
      <protection locked="0"/>
    </xf>
    <xf numFmtId="0" fontId="144" fillId="0" borderId="15" xfId="0" applyFont="1" applyBorder="1" applyAlignment="1" applyProtection="1">
      <alignment/>
      <protection locked="0"/>
    </xf>
    <xf numFmtId="0" fontId="144" fillId="0" borderId="15" xfId="0" applyFont="1" applyBorder="1" applyAlignment="1" applyProtection="1" quotePrefix="1">
      <alignment/>
      <protection locked="0"/>
    </xf>
    <xf numFmtId="0" fontId="144" fillId="0" borderId="16" xfId="0" applyFont="1" applyBorder="1" applyAlignment="1" applyProtection="1">
      <alignment/>
      <protection locked="0"/>
    </xf>
    <xf numFmtId="0" fontId="144" fillId="0" borderId="17" xfId="0" applyFont="1" applyBorder="1" applyAlignment="1" applyProtection="1">
      <alignment/>
      <protection locked="0"/>
    </xf>
    <xf numFmtId="0" fontId="144" fillId="0" borderId="0" xfId="0" applyFont="1" applyBorder="1" applyAlignment="1" applyProtection="1">
      <alignment/>
      <protection locked="0"/>
    </xf>
    <xf numFmtId="0" fontId="144" fillId="0" borderId="0" xfId="0" applyFont="1" applyBorder="1" applyAlignment="1" applyProtection="1" quotePrefix="1">
      <alignment/>
      <protection locked="0"/>
    </xf>
    <xf numFmtId="0" fontId="144" fillId="0" borderId="18" xfId="0" applyFont="1" applyBorder="1" applyAlignment="1" applyProtection="1">
      <alignment/>
      <protection locked="0"/>
    </xf>
    <xf numFmtId="0" fontId="147" fillId="0" borderId="17" xfId="0" applyFont="1" applyBorder="1" applyAlignment="1" applyProtection="1">
      <alignment/>
      <protection locked="0"/>
    </xf>
    <xf numFmtId="0" fontId="147" fillId="0" borderId="0" xfId="0" applyFont="1" applyBorder="1" applyAlignment="1" applyProtection="1">
      <alignment/>
      <protection locked="0"/>
    </xf>
    <xf numFmtId="0" fontId="144" fillId="35" borderId="0" xfId="0" applyFont="1" applyFill="1" applyBorder="1" applyAlignment="1" applyProtection="1">
      <alignment/>
      <protection locked="0"/>
    </xf>
    <xf numFmtId="0" fontId="144" fillId="52" borderId="0" xfId="0" applyFont="1" applyFill="1" applyBorder="1" applyAlignment="1" applyProtection="1">
      <alignment/>
      <protection locked="0"/>
    </xf>
    <xf numFmtId="0" fontId="144" fillId="0" borderId="19" xfId="0" applyFont="1" applyBorder="1" applyAlignment="1" applyProtection="1">
      <alignment/>
      <protection locked="0"/>
    </xf>
    <xf numFmtId="0" fontId="144" fillId="0" borderId="20" xfId="0" applyFont="1" applyBorder="1" applyAlignment="1" applyProtection="1">
      <alignment/>
      <protection locked="0"/>
    </xf>
    <xf numFmtId="0" fontId="144" fillId="0" borderId="21" xfId="0" applyFont="1" applyBorder="1" applyAlignment="1" applyProtection="1">
      <alignment/>
      <protection locked="0"/>
    </xf>
    <xf numFmtId="0" fontId="152" fillId="35" borderId="0" xfId="0" applyFont="1" applyFill="1" applyAlignment="1" applyProtection="1">
      <alignment/>
      <protection locked="0"/>
    </xf>
    <xf numFmtId="0" fontId="0" fillId="0" borderId="0" xfId="0" applyAlignment="1" applyProtection="1">
      <alignment/>
      <protection hidden="1"/>
    </xf>
    <xf numFmtId="0" fontId="0" fillId="0" borderId="10" xfId="0" applyBorder="1" applyAlignment="1" applyProtection="1">
      <alignment/>
      <protection hidden="1"/>
    </xf>
    <xf numFmtId="17" fontId="139" fillId="0" borderId="40" xfId="0" applyNumberFormat="1" applyFont="1" applyBorder="1" applyAlignment="1" applyProtection="1">
      <alignment/>
      <protection hidden="1"/>
    </xf>
    <xf numFmtId="0" fontId="139" fillId="0" borderId="41" xfId="0" applyFont="1" applyBorder="1" applyAlignment="1" applyProtection="1">
      <alignment/>
      <protection hidden="1"/>
    </xf>
    <xf numFmtId="17" fontId="139" fillId="0" borderId="41" xfId="0" applyNumberFormat="1" applyFont="1" applyBorder="1" applyAlignment="1" applyProtection="1">
      <alignment/>
      <protection hidden="1"/>
    </xf>
    <xf numFmtId="0" fontId="153" fillId="0" borderId="41" xfId="0" applyFont="1" applyBorder="1" applyAlignment="1" applyProtection="1">
      <alignment/>
      <protection hidden="1"/>
    </xf>
    <xf numFmtId="0" fontId="153" fillId="0" borderId="42" xfId="0" applyFont="1" applyBorder="1" applyAlignment="1" applyProtection="1">
      <alignment/>
      <protection hidden="1"/>
    </xf>
    <xf numFmtId="0" fontId="3" fillId="0" borderId="0" xfId="0" applyFont="1" applyAlignment="1">
      <alignment horizontal="center" vertical="center"/>
    </xf>
    <xf numFmtId="0" fontId="5" fillId="0" borderId="0" xfId="0" applyFont="1" applyAlignment="1">
      <alignment horizontal="left" vertical="center" wrapText="1"/>
    </xf>
    <xf numFmtId="0" fontId="50" fillId="0" borderId="0" xfId="0" applyFont="1" applyAlignment="1">
      <alignment horizontal="center" vertical="center"/>
    </xf>
    <xf numFmtId="0" fontId="51" fillId="0" borderId="0" xfId="0" applyFont="1" applyAlignment="1">
      <alignment vertical="center"/>
    </xf>
    <xf numFmtId="0" fontId="3" fillId="0" borderId="0" xfId="0" applyFont="1" applyAlignment="1">
      <alignment horizontal="left" vertical="center" wrapText="1"/>
    </xf>
    <xf numFmtId="0" fontId="52" fillId="0" borderId="0" xfId="0" applyFont="1" applyAlignment="1">
      <alignment vertical="center"/>
    </xf>
    <xf numFmtId="2" fontId="3" fillId="0" borderId="0" xfId="0" applyNumberFormat="1" applyFont="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textRotation="90" wrapText="1"/>
    </xf>
    <xf numFmtId="0" fontId="5" fillId="0" borderId="0" xfId="0" applyFont="1" applyBorder="1" applyAlignment="1">
      <alignment horizontal="center" vertical="center" wrapText="1"/>
    </xf>
    <xf numFmtId="41" fontId="5" fillId="0" borderId="10" xfId="42" applyNumberFormat="1" applyFont="1" applyBorder="1" applyAlignment="1">
      <alignment vertical="center"/>
    </xf>
    <xf numFmtId="0" fontId="5" fillId="0" borderId="10" xfId="0" applyFont="1" applyBorder="1" applyAlignment="1">
      <alignment vertical="center" wrapText="1"/>
    </xf>
    <xf numFmtId="170" fontId="5" fillId="0" borderId="0" xfId="42" applyNumberFormat="1" applyFont="1" applyBorder="1" applyAlignment="1">
      <alignment horizontal="center" vertical="center" wrapText="1"/>
    </xf>
    <xf numFmtId="43" fontId="5" fillId="0" borderId="0" xfId="42" applyFont="1" applyBorder="1" applyAlignment="1">
      <alignment horizontal="center" vertical="center" wrapText="1"/>
    </xf>
    <xf numFmtId="0" fontId="3" fillId="0" borderId="0" xfId="0" applyFont="1" applyAlignment="1">
      <alignment horizontal="justify" vertical="center"/>
    </xf>
    <xf numFmtId="1" fontId="0" fillId="0" borderId="0" xfId="0" applyNumberFormat="1" applyAlignment="1">
      <alignment/>
    </xf>
    <xf numFmtId="0" fontId="0" fillId="0" borderId="0" xfId="0" applyAlignment="1" applyProtection="1">
      <alignment horizontal="left" wrapText="1"/>
      <protection hidden="1"/>
    </xf>
    <xf numFmtId="0" fontId="0" fillId="0" borderId="0" xfId="0" applyAlignment="1" applyProtection="1">
      <alignment vertical="center" wrapText="1"/>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vertical="center" wrapText="1"/>
      <protection hidden="1"/>
    </xf>
    <xf numFmtId="0" fontId="154" fillId="0" borderId="0" xfId="0" applyFont="1" applyAlignment="1" applyProtection="1">
      <alignment/>
      <protection locked="0"/>
    </xf>
    <xf numFmtId="0" fontId="139" fillId="0" borderId="43" xfId="0" applyFont="1" applyBorder="1" applyAlignment="1" applyProtection="1">
      <alignment/>
      <protection hidden="1"/>
    </xf>
    <xf numFmtId="0" fontId="139" fillId="0" borderId="44" xfId="0" applyFont="1" applyBorder="1" applyAlignment="1" applyProtection="1">
      <alignment/>
      <protection hidden="1"/>
    </xf>
    <xf numFmtId="0" fontId="0" fillId="0" borderId="41" xfId="0" applyBorder="1" applyAlignment="1" applyProtection="1">
      <alignment/>
      <protection hidden="1"/>
    </xf>
    <xf numFmtId="0" fontId="0" fillId="0" borderId="45" xfId="0" applyBorder="1" applyAlignment="1" applyProtection="1">
      <alignment/>
      <protection hidden="1"/>
    </xf>
    <xf numFmtId="0" fontId="155" fillId="0" borderId="44" xfId="0" applyFont="1" applyBorder="1" applyAlignment="1" applyProtection="1">
      <alignment/>
      <protection hidden="1"/>
    </xf>
    <xf numFmtId="0" fontId="139" fillId="0" borderId="42" xfId="0" applyFont="1" applyBorder="1" applyAlignment="1" applyProtection="1">
      <alignment/>
      <protection hidden="1"/>
    </xf>
    <xf numFmtId="0" fontId="0" fillId="0" borderId="42" xfId="0" applyBorder="1" applyAlignment="1" applyProtection="1">
      <alignment/>
      <protection hidden="1"/>
    </xf>
    <xf numFmtId="0" fontId="0" fillId="0" borderId="46" xfId="0" applyBorder="1" applyAlignment="1" applyProtection="1">
      <alignment/>
      <protection hidden="1"/>
    </xf>
    <xf numFmtId="0" fontId="144" fillId="53" borderId="13" xfId="0" applyFont="1" applyFill="1" applyBorder="1" applyAlignment="1" applyProtection="1">
      <alignment vertical="center"/>
      <protection/>
    </xf>
    <xf numFmtId="0" fontId="156" fillId="0" borderId="0" xfId="0" applyFont="1" applyAlignment="1">
      <alignment/>
    </xf>
    <xf numFmtId="0" fontId="157" fillId="0" borderId="0" xfId="0" applyFont="1" applyAlignment="1">
      <alignment wrapText="1"/>
    </xf>
    <xf numFmtId="0" fontId="137" fillId="0" borderId="0" xfId="0" applyFont="1" applyAlignment="1">
      <alignment/>
    </xf>
    <xf numFmtId="0" fontId="135" fillId="0" borderId="10" xfId="0" applyFont="1" applyBorder="1" applyAlignment="1">
      <alignment horizontal="center" vertical="center" wrapText="1"/>
    </xf>
    <xf numFmtId="0" fontId="135" fillId="0" borderId="10" xfId="0" applyFont="1" applyBorder="1" applyAlignment="1">
      <alignment horizontal="center" vertical="center"/>
    </xf>
    <xf numFmtId="0" fontId="0" fillId="0" borderId="10" xfId="0" applyBorder="1" applyAlignment="1">
      <alignment horizontal="left" vertical="center" wrapText="1"/>
    </xf>
    <xf numFmtId="0" fontId="0" fillId="54" borderId="10" xfId="0" applyFill="1" applyBorder="1" applyAlignment="1" applyProtection="1">
      <alignment horizontal="center" vertical="center" textRotation="90" wrapText="1"/>
      <protection hidden="1" locked="0"/>
    </xf>
    <xf numFmtId="0" fontId="55" fillId="0" borderId="0" xfId="0" applyFont="1" applyAlignment="1" applyProtection="1">
      <alignment/>
      <protection hidden="1"/>
    </xf>
    <xf numFmtId="0" fontId="0" fillId="54" borderId="31" xfId="0" applyFill="1" applyBorder="1" applyAlignment="1" applyProtection="1">
      <alignment horizontal="center" vertical="center"/>
      <protection hidden="1" locked="0"/>
    </xf>
    <xf numFmtId="0" fontId="0" fillId="0" borderId="22" xfId="0" applyBorder="1" applyAlignment="1">
      <alignment/>
    </xf>
    <xf numFmtId="0" fontId="0" fillId="47" borderId="47" xfId="0" applyFont="1" applyFill="1" applyBorder="1" applyAlignment="1">
      <alignment vertical="center"/>
    </xf>
    <xf numFmtId="0" fontId="0" fillId="47" borderId="35" xfId="0" applyFont="1" applyFill="1" applyBorder="1" applyAlignment="1">
      <alignment vertical="center"/>
    </xf>
    <xf numFmtId="2" fontId="3" fillId="0" borderId="13" xfId="0" applyNumberFormat="1" applyFont="1" applyBorder="1" applyAlignment="1">
      <alignment horizontal="left" vertical="center" indent="1"/>
    </xf>
    <xf numFmtId="0" fontId="144" fillId="55" borderId="0" xfId="0" applyFont="1" applyFill="1" applyBorder="1" applyAlignment="1" applyProtection="1">
      <alignment/>
      <protection locked="0"/>
    </xf>
    <xf numFmtId="0" fontId="144" fillId="55" borderId="0" xfId="0" applyFont="1" applyFill="1" applyBorder="1" applyAlignment="1" applyProtection="1">
      <alignment horizontal="left"/>
      <protection locked="0"/>
    </xf>
    <xf numFmtId="0" fontId="137" fillId="0" borderId="0" xfId="0" applyFont="1" applyBorder="1" applyAlignment="1" applyProtection="1">
      <alignment vertical="center"/>
      <protection locked="0"/>
    </xf>
    <xf numFmtId="0" fontId="144" fillId="0" borderId="48" xfId="0" applyFont="1" applyBorder="1" applyAlignment="1" applyProtection="1">
      <alignment/>
      <protection locked="0"/>
    </xf>
    <xf numFmtId="0" fontId="137" fillId="0" borderId="48" xfId="0" applyFont="1" applyBorder="1" applyAlignment="1" applyProtection="1">
      <alignment vertical="center"/>
      <protection locked="0"/>
    </xf>
    <xf numFmtId="0" fontId="0" fillId="0" borderId="0" xfId="0" applyAlignment="1" applyProtection="1">
      <alignment/>
      <protection/>
    </xf>
    <xf numFmtId="0" fontId="158" fillId="56" borderId="49" xfId="0" applyFont="1" applyFill="1" applyBorder="1" applyAlignment="1" applyProtection="1">
      <alignment vertical="center" wrapText="1"/>
      <protection/>
    </xf>
    <xf numFmtId="0" fontId="158" fillId="56" borderId="50" xfId="0" applyFont="1" applyFill="1" applyBorder="1" applyAlignment="1" applyProtection="1">
      <alignment vertical="center" wrapText="1"/>
      <protection/>
    </xf>
    <xf numFmtId="0" fontId="158" fillId="56" borderId="51" xfId="0" applyFont="1" applyFill="1" applyBorder="1" applyAlignment="1" applyProtection="1">
      <alignment vertical="center" wrapText="1"/>
      <protection/>
    </xf>
    <xf numFmtId="49" fontId="144" fillId="0" borderId="0" xfId="0" applyNumberFormat="1" applyFont="1" applyAlignment="1" applyProtection="1">
      <alignment/>
      <protection locked="0"/>
    </xf>
    <xf numFmtId="0" fontId="144" fillId="47" borderId="0" xfId="0" applyFont="1" applyFill="1" applyAlignment="1" applyProtection="1">
      <alignment horizontal="center" vertical="center"/>
      <protection locked="0"/>
    </xf>
    <xf numFmtId="0" fontId="0" fillId="0" borderId="0" xfId="0" applyAlignment="1">
      <alignment horizontal="center"/>
    </xf>
    <xf numFmtId="0" fontId="139" fillId="0" borderId="43" xfId="0" applyFont="1" applyBorder="1" applyAlignment="1" applyProtection="1">
      <alignment shrinkToFit="1"/>
      <protection hidden="1"/>
    </xf>
    <xf numFmtId="17" fontId="139" fillId="0" borderId="40" xfId="0" applyNumberFormat="1" applyFont="1" applyBorder="1" applyAlignment="1" applyProtection="1">
      <alignment shrinkToFit="1"/>
      <protection hidden="1"/>
    </xf>
    <xf numFmtId="0" fontId="139" fillId="0" borderId="40" xfId="0" applyFont="1" applyBorder="1" applyAlignment="1" applyProtection="1">
      <alignment shrinkToFit="1"/>
      <protection hidden="1"/>
    </xf>
    <xf numFmtId="0" fontId="153" fillId="0" borderId="40" xfId="0" applyFont="1" applyBorder="1" applyAlignment="1" applyProtection="1">
      <alignment shrinkToFit="1"/>
      <protection hidden="1"/>
    </xf>
    <xf numFmtId="0" fontId="0" fillId="0" borderId="40" xfId="0" applyBorder="1" applyAlignment="1" applyProtection="1">
      <alignment shrinkToFit="1"/>
      <protection hidden="1"/>
    </xf>
    <xf numFmtId="0" fontId="0" fillId="0" borderId="52" xfId="0" applyBorder="1" applyAlignment="1" applyProtection="1">
      <alignment shrinkToFit="1"/>
      <protection hidden="1"/>
    </xf>
    <xf numFmtId="0" fontId="139" fillId="0" borderId="44" xfId="0" applyFont="1" applyBorder="1" applyAlignment="1" applyProtection="1">
      <alignment shrinkToFit="1"/>
      <protection hidden="1"/>
    </xf>
    <xf numFmtId="17" fontId="139" fillId="0" borderId="41" xfId="0" applyNumberFormat="1" applyFont="1" applyBorder="1" applyAlignment="1" applyProtection="1">
      <alignment shrinkToFit="1"/>
      <protection hidden="1"/>
    </xf>
    <xf numFmtId="0" fontId="139" fillId="0" borderId="41" xfId="0" applyFont="1" applyBorder="1" applyAlignment="1" applyProtection="1">
      <alignment shrinkToFit="1"/>
      <protection hidden="1"/>
    </xf>
    <xf numFmtId="0" fontId="153" fillId="0" borderId="41" xfId="0" applyFont="1" applyBorder="1" applyAlignment="1" applyProtection="1">
      <alignment shrinkToFit="1"/>
      <protection hidden="1"/>
    </xf>
    <xf numFmtId="0" fontId="0" fillId="0" borderId="41" xfId="0" applyBorder="1" applyAlignment="1" applyProtection="1">
      <alignment shrinkToFit="1"/>
      <protection hidden="1"/>
    </xf>
    <xf numFmtId="0" fontId="0" fillId="0" borderId="45" xfId="0" applyBorder="1" applyAlignment="1" applyProtection="1">
      <alignment shrinkToFit="1"/>
      <protection hidden="1"/>
    </xf>
    <xf numFmtId="0" fontId="139" fillId="0" borderId="10" xfId="0" applyFont="1" applyBorder="1" applyAlignment="1" applyProtection="1">
      <alignment shrinkToFit="1"/>
      <protection hidden="1"/>
    </xf>
    <xf numFmtId="0" fontId="153" fillId="0" borderId="10" xfId="0" applyFont="1" applyBorder="1" applyAlignment="1" applyProtection="1">
      <alignment shrinkToFit="1"/>
      <protection hidden="1"/>
    </xf>
    <xf numFmtId="0" fontId="0" fillId="0" borderId="10" xfId="0" applyBorder="1" applyAlignment="1" applyProtection="1">
      <alignment shrinkToFit="1"/>
      <protection hidden="1"/>
    </xf>
    <xf numFmtId="0" fontId="139" fillId="0" borderId="42" xfId="0" applyFont="1" applyBorder="1" applyAlignment="1" applyProtection="1">
      <alignment shrinkToFit="1"/>
      <protection hidden="1"/>
    </xf>
    <xf numFmtId="0" fontId="153" fillId="0" borderId="42" xfId="0" applyFont="1" applyBorder="1" applyAlignment="1" applyProtection="1">
      <alignment shrinkToFit="1"/>
      <protection hidden="1"/>
    </xf>
    <xf numFmtId="0" fontId="0" fillId="0" borderId="42" xfId="0" applyBorder="1" applyAlignment="1" applyProtection="1">
      <alignment shrinkToFit="1"/>
      <protection hidden="1"/>
    </xf>
    <xf numFmtId="0" fontId="0" fillId="0" borderId="46" xfId="0" applyBorder="1" applyAlignment="1" applyProtection="1">
      <alignment shrinkToFit="1"/>
      <protection hidden="1"/>
    </xf>
    <xf numFmtId="0" fontId="159" fillId="0" borderId="10" xfId="0" applyFont="1" applyBorder="1" applyAlignment="1" applyProtection="1">
      <alignment shrinkToFit="1"/>
      <protection hidden="1"/>
    </xf>
    <xf numFmtId="0" fontId="135" fillId="0" borderId="10" xfId="0" applyFont="1" applyBorder="1" applyAlignment="1" applyProtection="1">
      <alignment shrinkToFit="1"/>
      <protection hidden="1"/>
    </xf>
    <xf numFmtId="0" fontId="144" fillId="57" borderId="0" xfId="0" applyFont="1" applyFill="1" applyAlignment="1" applyProtection="1">
      <alignment/>
      <protection locked="0"/>
    </xf>
    <xf numFmtId="0" fontId="5" fillId="0" borderId="31" xfId="0" applyFont="1" applyBorder="1" applyAlignment="1">
      <alignment horizontal="center"/>
    </xf>
    <xf numFmtId="0" fontId="5" fillId="0" borderId="0" xfId="0" applyFont="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0" fontId="5" fillId="0" borderId="31" xfId="0" applyFont="1" applyBorder="1" applyAlignment="1">
      <alignment horizontal="center" wrapText="1"/>
    </xf>
    <xf numFmtId="0" fontId="5" fillId="0" borderId="53" xfId="0" applyFont="1" applyBorder="1" applyAlignment="1">
      <alignment horizontal="center" wrapText="1"/>
    </xf>
    <xf numFmtId="0" fontId="5" fillId="0" borderId="16" xfId="0" applyFont="1" applyBorder="1" applyAlignment="1">
      <alignment horizontal="center" wrapText="1"/>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53" xfId="0" applyFont="1" applyBorder="1" applyAlignment="1" quotePrefix="1">
      <alignment horizontal="center" wrapText="1"/>
    </xf>
    <xf numFmtId="0" fontId="5"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wrapText="1"/>
    </xf>
    <xf numFmtId="0" fontId="143" fillId="36" borderId="12" xfId="0" applyFont="1" applyFill="1" applyBorder="1" applyAlignment="1" applyProtection="1">
      <alignment horizontal="center" vertical="center"/>
      <protection locked="0"/>
    </xf>
    <xf numFmtId="0" fontId="0" fillId="0" borderId="10" xfId="0" applyBorder="1" applyAlignment="1">
      <alignment horizontal="center" vertical="center" shrinkToFit="1"/>
    </xf>
    <xf numFmtId="0" fontId="135" fillId="0" borderId="10" xfId="0" applyFont="1" applyBorder="1" applyAlignment="1">
      <alignment horizontal="center" vertical="center" shrinkToFit="1"/>
    </xf>
    <xf numFmtId="0" fontId="0" fillId="0" borderId="10" xfId="0" applyBorder="1" applyAlignment="1">
      <alignment horizontal="left" vertical="center" wrapText="1" shrinkToFit="1"/>
    </xf>
    <xf numFmtId="14" fontId="0" fillId="0" borderId="40" xfId="0" applyNumberFormat="1" applyBorder="1" applyAlignment="1" applyProtection="1">
      <alignment vertical="center"/>
      <protection hidden="1"/>
    </xf>
    <xf numFmtId="14" fontId="0" fillId="0" borderId="40" xfId="0" applyNumberFormat="1" applyBorder="1" applyAlignment="1" applyProtection="1">
      <alignment/>
      <protection hidden="1"/>
    </xf>
    <xf numFmtId="0" fontId="0" fillId="0" borderId="40" xfId="0" applyBorder="1" applyAlignment="1" applyProtection="1">
      <alignment/>
      <protection hidden="1"/>
    </xf>
    <xf numFmtId="43" fontId="0" fillId="0" borderId="40" xfId="0" applyNumberFormat="1" applyBorder="1" applyAlignment="1" applyProtection="1">
      <alignment/>
      <protection hidden="1"/>
    </xf>
    <xf numFmtId="170" fontId="0" fillId="0" borderId="40" xfId="0" applyNumberFormat="1" applyBorder="1" applyAlignment="1" applyProtection="1">
      <alignment/>
      <protection hidden="1"/>
    </xf>
    <xf numFmtId="170" fontId="0" fillId="0" borderId="52" xfId="0" applyNumberFormat="1" applyBorder="1" applyAlignment="1" applyProtection="1">
      <alignment/>
      <protection hidden="1"/>
    </xf>
    <xf numFmtId="14" fontId="0" fillId="0" borderId="41" xfId="0" applyNumberFormat="1" applyBorder="1" applyAlignment="1" applyProtection="1">
      <alignment vertical="center"/>
      <protection hidden="1"/>
    </xf>
    <xf numFmtId="14" fontId="0" fillId="0" borderId="41" xfId="0" applyNumberFormat="1" applyBorder="1" applyAlignment="1" applyProtection="1">
      <alignment/>
      <protection hidden="1"/>
    </xf>
    <xf numFmtId="43" fontId="0" fillId="0" borderId="41" xfId="0" applyNumberFormat="1" applyBorder="1" applyAlignment="1" applyProtection="1">
      <alignment/>
      <protection hidden="1"/>
    </xf>
    <xf numFmtId="170" fontId="0" fillId="0" borderId="41" xfId="0" applyNumberFormat="1" applyBorder="1" applyAlignment="1" applyProtection="1">
      <alignment/>
      <protection hidden="1"/>
    </xf>
    <xf numFmtId="170" fontId="0" fillId="0" borderId="45" xfId="0" applyNumberFormat="1" applyBorder="1" applyAlignment="1" applyProtection="1">
      <alignment/>
      <protection hidden="1"/>
    </xf>
    <xf numFmtId="14" fontId="0" fillId="0" borderId="42" xfId="0" applyNumberFormat="1" applyBorder="1" applyAlignment="1" applyProtection="1">
      <alignment vertical="center"/>
      <protection hidden="1"/>
    </xf>
    <xf numFmtId="14" fontId="0" fillId="0" borderId="42" xfId="0" applyNumberFormat="1" applyBorder="1" applyAlignment="1" applyProtection="1">
      <alignment/>
      <protection hidden="1"/>
    </xf>
    <xf numFmtId="170" fontId="0" fillId="0" borderId="42" xfId="0" applyNumberFormat="1" applyBorder="1" applyAlignment="1" applyProtection="1">
      <alignment/>
      <protection hidden="1"/>
    </xf>
    <xf numFmtId="170" fontId="0" fillId="0" borderId="46" xfId="0" applyNumberFormat="1" applyBorder="1" applyAlignment="1" applyProtection="1">
      <alignment/>
      <protection hidden="1"/>
    </xf>
    <xf numFmtId="2" fontId="14" fillId="0" borderId="0" xfId="0" applyNumberFormat="1" applyFont="1" applyAlignment="1">
      <alignment horizontal="left" vertical="center" wrapText="1"/>
    </xf>
    <xf numFmtId="0" fontId="139" fillId="54" borderId="10" xfId="0" applyFont="1" applyFill="1" applyBorder="1" applyAlignment="1" applyProtection="1">
      <alignment vertical="center"/>
      <protection hidden="1"/>
    </xf>
    <xf numFmtId="0" fontId="139" fillId="54" borderId="10" xfId="0" applyFont="1" applyFill="1" applyBorder="1" applyAlignment="1" applyProtection="1">
      <alignment vertical="center" wrapText="1"/>
      <protection hidden="1"/>
    </xf>
    <xf numFmtId="0" fontId="139" fillId="54" borderId="10" xfId="0" applyFont="1" applyFill="1" applyBorder="1" applyAlignment="1" applyProtection="1">
      <alignment vertical="center" textRotation="90"/>
      <protection hidden="1"/>
    </xf>
    <xf numFmtId="0" fontId="157" fillId="54" borderId="10" xfId="0" applyFont="1" applyFill="1" applyBorder="1" applyAlignment="1" applyProtection="1">
      <alignment vertical="center"/>
      <protection hidden="1"/>
    </xf>
    <xf numFmtId="0" fontId="0" fillId="54" borderId="10" xfId="0" applyFill="1" applyBorder="1" applyAlignment="1" applyProtection="1">
      <alignment/>
      <protection hidden="1"/>
    </xf>
    <xf numFmtId="0" fontId="139" fillId="54" borderId="10" xfId="0" applyFont="1" applyFill="1" applyBorder="1" applyAlignment="1" applyProtection="1">
      <alignment horizontal="center" vertical="center"/>
      <protection hidden="1"/>
    </xf>
    <xf numFmtId="0" fontId="139" fillId="54" borderId="10" xfId="0" applyFont="1" applyFill="1" applyBorder="1" applyAlignment="1" applyProtection="1">
      <alignment horizontal="center" vertical="center" wrapText="1"/>
      <protection hidden="1"/>
    </xf>
    <xf numFmtId="0" fontId="139" fillId="54" borderId="10" xfId="0" applyFont="1" applyFill="1" applyBorder="1" applyAlignment="1" applyProtection="1">
      <alignment horizontal="center" vertical="center" textRotation="90"/>
      <protection hidden="1"/>
    </xf>
    <xf numFmtId="0" fontId="157" fillId="54" borderId="10" xfId="0" applyFont="1" applyFill="1" applyBorder="1" applyAlignment="1" applyProtection="1">
      <alignment horizontal="center" vertical="center"/>
      <protection hidden="1"/>
    </xf>
    <xf numFmtId="0" fontId="0" fillId="54" borderId="10" xfId="0" applyFill="1" applyBorder="1" applyAlignment="1" applyProtection="1">
      <alignment horizontal="center" vertical="center"/>
      <protection hidden="1"/>
    </xf>
    <xf numFmtId="0" fontId="157" fillId="54" borderId="10" xfId="0" applyFont="1" applyFill="1" applyBorder="1" applyAlignment="1" applyProtection="1">
      <alignment/>
      <protection hidden="1"/>
    </xf>
    <xf numFmtId="0" fontId="0" fillId="54" borderId="10" xfId="0" applyFill="1" applyBorder="1" applyAlignment="1" applyProtection="1">
      <alignment wrapText="1"/>
      <protection hidden="1"/>
    </xf>
    <xf numFmtId="0" fontId="11" fillId="0" borderId="12" xfId="0" applyFont="1" applyBorder="1" applyAlignment="1" applyProtection="1">
      <alignment vertical="center"/>
      <protection hidden="1"/>
    </xf>
    <xf numFmtId="0" fontId="11" fillId="0" borderId="13" xfId="0" applyFont="1" applyBorder="1" applyAlignment="1" applyProtection="1">
      <alignment vertical="center"/>
      <protection hidden="1"/>
    </xf>
    <xf numFmtId="0" fontId="11" fillId="0" borderId="15" xfId="0" applyFont="1" applyBorder="1" applyAlignment="1" applyProtection="1">
      <alignment vertical="center"/>
      <protection hidden="1"/>
    </xf>
    <xf numFmtId="49" fontId="11" fillId="0" borderId="15" xfId="0" applyNumberFormat="1" applyFont="1" applyBorder="1" applyAlignment="1" applyProtection="1">
      <alignment vertical="center"/>
      <protection hidden="1"/>
    </xf>
    <xf numFmtId="17" fontId="11" fillId="0" borderId="16" xfId="0" applyNumberFormat="1" applyFont="1" applyBorder="1" applyAlignment="1" applyProtection="1">
      <alignment vertical="center"/>
      <protection hidden="1"/>
    </xf>
    <xf numFmtId="1" fontId="11" fillId="0" borderId="10" xfId="0" applyNumberFormat="1" applyFont="1" applyBorder="1" applyAlignment="1" applyProtection="1">
      <alignment horizontal="center" vertical="center"/>
      <protection hidden="1"/>
    </xf>
    <xf numFmtId="1" fontId="14" fillId="0" borderId="12" xfId="0" applyNumberFormat="1" applyFont="1" applyBorder="1" applyAlignment="1" applyProtection="1">
      <alignment horizontal="center" vertical="center"/>
      <protection hidden="1"/>
    </xf>
    <xf numFmtId="1" fontId="15" fillId="0" borderId="0" xfId="0" applyNumberFormat="1" applyFont="1" applyBorder="1" applyAlignment="1" applyProtection="1">
      <alignment vertical="center"/>
      <protection hidden="1"/>
    </xf>
    <xf numFmtId="0" fontId="11" fillId="0" borderId="0" xfId="0" applyFont="1" applyBorder="1" applyAlignment="1" applyProtection="1">
      <alignment/>
      <protection hidden="1"/>
    </xf>
    <xf numFmtId="0" fontId="11" fillId="0" borderId="58" xfId="0" applyFont="1" applyBorder="1" applyAlignment="1" applyProtection="1">
      <alignment horizontal="right" vertical="center"/>
      <protection hidden="1"/>
    </xf>
    <xf numFmtId="0" fontId="11" fillId="0" borderId="30" xfId="0" applyFont="1" applyBorder="1" applyAlignment="1" applyProtection="1">
      <alignment vertical="center"/>
      <protection hidden="1"/>
    </xf>
    <xf numFmtId="0" fontId="11" fillId="0" borderId="59" xfId="0" applyFont="1" applyBorder="1" applyAlignment="1" applyProtection="1">
      <alignment vertical="center"/>
      <protection hidden="1"/>
    </xf>
    <xf numFmtId="0" fontId="5" fillId="0" borderId="60" xfId="0" applyFont="1" applyBorder="1" applyAlignment="1" applyProtection="1">
      <alignment horizontal="center"/>
      <protection hidden="1"/>
    </xf>
    <xf numFmtId="0" fontId="11" fillId="0" borderId="0" xfId="0" applyFont="1" applyBorder="1" applyAlignment="1" applyProtection="1">
      <alignment/>
      <protection hidden="1"/>
    </xf>
    <xf numFmtId="0" fontId="16" fillId="0" borderId="20" xfId="0" applyFont="1" applyBorder="1" applyAlignment="1" applyProtection="1">
      <alignment horizontal="center"/>
      <protection hidden="1"/>
    </xf>
    <xf numFmtId="0" fontId="11" fillId="0" borderId="61" xfId="0" applyFont="1" applyBorder="1" applyAlignment="1" applyProtection="1">
      <alignment horizontal="right" vertical="center"/>
      <protection hidden="1"/>
    </xf>
    <xf numFmtId="0" fontId="11" fillId="0" borderId="24" xfId="0" applyFont="1" applyBorder="1" applyAlignment="1" applyProtection="1">
      <alignment horizontal="right" vertical="center"/>
      <protection hidden="1"/>
    </xf>
    <xf numFmtId="0" fontId="11" fillId="0" borderId="25" xfId="0" applyFont="1" applyBorder="1" applyAlignment="1" applyProtection="1">
      <alignment horizontal="right" vertical="center"/>
      <protection hidden="1"/>
    </xf>
    <xf numFmtId="0" fontId="11" fillId="0" borderId="0" xfId="0" applyFont="1" applyBorder="1" applyAlignment="1" applyProtection="1">
      <alignment vertical="center" shrinkToFit="1"/>
      <protection hidden="1"/>
    </xf>
    <xf numFmtId="0" fontId="11" fillId="0" borderId="0" xfId="0" applyFont="1" applyBorder="1" applyAlignment="1" applyProtection="1">
      <alignment horizontal="right" vertical="center"/>
      <protection hidden="1"/>
    </xf>
    <xf numFmtId="0" fontId="11" fillId="0" borderId="20" xfId="0" applyFont="1" applyBorder="1" applyAlignment="1" applyProtection="1">
      <alignment/>
      <protection hidden="1"/>
    </xf>
    <xf numFmtId="0" fontId="11" fillId="0" borderId="21" xfId="0" applyFont="1" applyBorder="1" applyAlignment="1" applyProtection="1">
      <alignment/>
      <protection hidden="1"/>
    </xf>
    <xf numFmtId="0" fontId="11" fillId="0" borderId="0" xfId="0" applyFont="1" applyFill="1" applyBorder="1" applyAlignment="1" applyProtection="1">
      <alignment/>
      <protection hidden="1" locked="0"/>
    </xf>
    <xf numFmtId="0" fontId="11" fillId="0" borderId="0" xfId="0" applyFont="1" applyBorder="1" applyAlignment="1" applyProtection="1">
      <alignment/>
      <protection hidden="1" locked="0"/>
    </xf>
    <xf numFmtId="0" fontId="11" fillId="0" borderId="14" xfId="0" applyFont="1" applyBorder="1" applyAlignment="1" applyProtection="1">
      <alignment/>
      <protection hidden="1"/>
    </xf>
    <xf numFmtId="0" fontId="11" fillId="0" borderId="15" xfId="0" applyFont="1" applyBorder="1" applyAlignment="1" applyProtection="1">
      <alignment/>
      <protection hidden="1"/>
    </xf>
    <xf numFmtId="0" fontId="11" fillId="0" borderId="18" xfId="0" applyFont="1" applyBorder="1" applyAlignment="1" applyProtection="1">
      <alignment/>
      <protection hidden="1"/>
    </xf>
    <xf numFmtId="0" fontId="16" fillId="0" borderId="10" xfId="0" applyFont="1" applyBorder="1" applyAlignment="1" applyProtection="1">
      <alignment horizontal="center"/>
      <protection hidden="1" locked="0"/>
    </xf>
    <xf numFmtId="0" fontId="5" fillId="0" borderId="20" xfId="0" applyFont="1" applyBorder="1" applyAlignment="1" applyProtection="1">
      <alignment/>
      <protection hidden="1" locked="0"/>
    </xf>
    <xf numFmtId="0" fontId="11" fillId="0" borderId="20" xfId="0" applyFont="1" applyBorder="1" applyAlignment="1" applyProtection="1">
      <alignment/>
      <protection hidden="1" locked="0"/>
    </xf>
    <xf numFmtId="0" fontId="11" fillId="0" borderId="17" xfId="0" applyFont="1" applyBorder="1" applyAlignment="1" applyProtection="1">
      <alignment/>
      <protection hidden="1"/>
    </xf>
    <xf numFmtId="2" fontId="11" fillId="0" borderId="21" xfId="0" applyNumberFormat="1" applyFont="1" applyBorder="1" applyAlignment="1" applyProtection="1">
      <alignment/>
      <protection hidden="1"/>
    </xf>
    <xf numFmtId="0" fontId="11" fillId="0" borderId="13" xfId="0" applyFont="1" applyBorder="1" applyAlignment="1" applyProtection="1">
      <alignment/>
      <protection hidden="1"/>
    </xf>
    <xf numFmtId="0" fontId="18" fillId="0" borderId="10" xfId="0" applyFont="1" applyBorder="1" applyAlignment="1" applyProtection="1">
      <alignment horizontal="center"/>
      <protection hidden="1" locked="0"/>
    </xf>
    <xf numFmtId="0" fontId="19" fillId="0" borderId="0" xfId="0" applyFont="1" applyBorder="1" applyAlignment="1" applyProtection="1">
      <alignment/>
      <protection hidden="1" locked="0"/>
    </xf>
    <xf numFmtId="2" fontId="11" fillId="0" borderId="18" xfId="0" applyNumberFormat="1" applyFont="1" applyBorder="1" applyAlignment="1" applyProtection="1">
      <alignment/>
      <protection hidden="1"/>
    </xf>
    <xf numFmtId="2" fontId="11" fillId="0" borderId="22" xfId="0" applyNumberFormat="1" applyFont="1" applyBorder="1" applyAlignment="1" applyProtection="1">
      <alignment/>
      <protection hidden="1"/>
    </xf>
    <xf numFmtId="0" fontId="16" fillId="0" borderId="10" xfId="0" applyFont="1" applyBorder="1" applyAlignment="1" applyProtection="1">
      <alignment horizontal="center" vertical="center"/>
      <protection hidden="1" locked="0"/>
    </xf>
    <xf numFmtId="0" fontId="17" fillId="0" borderId="0" xfId="0" applyFont="1" applyBorder="1" applyAlignment="1" applyProtection="1">
      <alignment vertical="center" wrapText="1"/>
      <protection hidden="1" locked="0"/>
    </xf>
    <xf numFmtId="0" fontId="19" fillId="0" borderId="0" xfId="0" applyFont="1" applyBorder="1" applyAlignment="1" applyProtection="1">
      <alignment vertical="top" wrapText="1"/>
      <protection hidden="1" locked="0"/>
    </xf>
    <xf numFmtId="0" fontId="17" fillId="0" borderId="10" xfId="0" applyFont="1" applyBorder="1" applyAlignment="1" applyProtection="1">
      <alignment horizontal="center"/>
      <protection hidden="1" locked="0"/>
    </xf>
    <xf numFmtId="0" fontId="21" fillId="0" borderId="0" xfId="0" applyFont="1" applyBorder="1" applyAlignment="1" applyProtection="1">
      <alignment/>
      <protection hidden="1" locked="0"/>
    </xf>
    <xf numFmtId="0" fontId="16" fillId="0" borderId="0" xfId="0" applyFont="1" applyBorder="1" applyAlignment="1" applyProtection="1">
      <alignment/>
      <protection hidden="1"/>
    </xf>
    <xf numFmtId="0" fontId="16" fillId="0" borderId="12" xfId="0" applyFont="1" applyBorder="1" applyAlignment="1" applyProtection="1">
      <alignment horizontal="center"/>
      <protection hidden="1" locked="0"/>
    </xf>
    <xf numFmtId="0" fontId="16" fillId="0" borderId="17" xfId="0" applyFont="1" applyBorder="1" applyAlignment="1" applyProtection="1">
      <alignment horizontal="center"/>
      <protection hidden="1" locked="0"/>
    </xf>
    <xf numFmtId="0" fontId="17" fillId="0" borderId="0" xfId="0" applyFont="1" applyBorder="1" applyAlignment="1" applyProtection="1">
      <alignment/>
      <protection hidden="1"/>
    </xf>
    <xf numFmtId="0" fontId="11" fillId="0" borderId="0" xfId="0" applyFont="1" applyFill="1" applyBorder="1" applyAlignment="1" applyProtection="1">
      <alignment/>
      <protection hidden="1"/>
    </xf>
    <xf numFmtId="0" fontId="11" fillId="0" borderId="0"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19" xfId="0" applyFont="1" applyBorder="1" applyAlignment="1" applyProtection="1">
      <alignment/>
      <protection hidden="1"/>
    </xf>
    <xf numFmtId="0" fontId="144" fillId="0" borderId="0" xfId="0" applyFont="1" applyAlignment="1" applyProtection="1" quotePrefix="1">
      <alignment horizontal="center"/>
      <protection locked="0"/>
    </xf>
    <xf numFmtId="0" fontId="146" fillId="58" borderId="13" xfId="0" applyFont="1" applyFill="1" applyBorder="1" applyAlignment="1" applyProtection="1">
      <alignment horizontal="left" vertical="center" wrapText="1"/>
      <protection/>
    </xf>
    <xf numFmtId="0" fontId="158" fillId="56" borderId="62" xfId="0" applyFont="1" applyFill="1" applyBorder="1" applyAlignment="1" applyProtection="1">
      <alignment horizontal="center" vertical="center" wrapText="1"/>
      <protection/>
    </xf>
    <xf numFmtId="0" fontId="158" fillId="56" borderId="63" xfId="0" applyFont="1" applyFill="1" applyBorder="1" applyAlignment="1" applyProtection="1">
      <alignment horizontal="center" vertical="center" wrapText="1"/>
      <protection/>
    </xf>
    <xf numFmtId="0" fontId="158" fillId="56" borderId="0" xfId="0" applyFont="1" applyFill="1" applyBorder="1" applyAlignment="1" applyProtection="1">
      <alignment horizontal="center" vertical="center" wrapText="1"/>
      <protection/>
    </xf>
    <xf numFmtId="0" fontId="158" fillId="56" borderId="64" xfId="0" applyFont="1" applyFill="1" applyBorder="1" applyAlignment="1" applyProtection="1">
      <alignment horizontal="center" vertical="center" wrapText="1"/>
      <protection/>
    </xf>
    <xf numFmtId="0" fontId="158" fillId="56" borderId="48" xfId="0" applyFont="1" applyFill="1" applyBorder="1" applyAlignment="1" applyProtection="1">
      <alignment horizontal="center" vertical="center" wrapText="1"/>
      <protection/>
    </xf>
    <xf numFmtId="0" fontId="158" fillId="56" borderId="65" xfId="0" applyFont="1" applyFill="1" applyBorder="1" applyAlignment="1" applyProtection="1">
      <alignment horizontal="center" vertical="center" wrapText="1"/>
      <protection/>
    </xf>
    <xf numFmtId="0" fontId="160" fillId="59" borderId="34" xfId="0" applyFont="1" applyFill="1" applyBorder="1" applyAlignment="1">
      <alignment horizontal="center" vertical="center"/>
    </xf>
    <xf numFmtId="0" fontId="160" fillId="59" borderId="35" xfId="0" applyFont="1" applyFill="1" applyBorder="1" applyAlignment="1">
      <alignment horizontal="center" vertical="center"/>
    </xf>
    <xf numFmtId="0" fontId="160" fillId="59" borderId="36" xfId="0" applyFont="1" applyFill="1" applyBorder="1" applyAlignment="1">
      <alignment horizontal="center" vertical="center"/>
    </xf>
    <xf numFmtId="0" fontId="161" fillId="43" borderId="32" xfId="0" applyFont="1" applyFill="1" applyBorder="1" applyAlignment="1" applyProtection="1">
      <alignment horizontal="left" vertical="center"/>
      <protection/>
    </xf>
    <xf numFmtId="0" fontId="161" fillId="43" borderId="0" xfId="0" applyFont="1" applyFill="1" applyBorder="1" applyAlignment="1" applyProtection="1">
      <alignment horizontal="left" vertical="center"/>
      <protection/>
    </xf>
    <xf numFmtId="0" fontId="161" fillId="43" borderId="33" xfId="0" applyFont="1" applyFill="1" applyBorder="1" applyAlignment="1" applyProtection="1">
      <alignment horizontal="left" vertical="center"/>
      <protection/>
    </xf>
    <xf numFmtId="0" fontId="162" fillId="60" borderId="35" xfId="16" applyFont="1" applyFill="1" applyBorder="1" applyAlignment="1" applyProtection="1">
      <alignment horizontal="center" vertical="center"/>
      <protection/>
    </xf>
    <xf numFmtId="0" fontId="144" fillId="43" borderId="66" xfId="0" applyFont="1" applyFill="1" applyBorder="1" applyAlignment="1" applyProtection="1">
      <alignment horizontal="center"/>
      <protection locked="0"/>
    </xf>
    <xf numFmtId="0" fontId="144" fillId="43" borderId="33" xfId="0" applyFont="1" applyFill="1" applyBorder="1" applyAlignment="1" applyProtection="1">
      <alignment horizontal="center"/>
      <protection locked="0"/>
    </xf>
    <xf numFmtId="0" fontId="144" fillId="43" borderId="67" xfId="0" applyFont="1" applyFill="1" applyBorder="1" applyAlignment="1" applyProtection="1">
      <alignment horizontal="center"/>
      <protection locked="0"/>
    </xf>
    <xf numFmtId="0" fontId="144" fillId="43" borderId="32" xfId="0" applyFont="1" applyFill="1" applyBorder="1" applyAlignment="1" applyProtection="1">
      <alignment horizontal="center"/>
      <protection locked="0"/>
    </xf>
    <xf numFmtId="0" fontId="163" fillId="3" borderId="67" xfId="0" applyFont="1" applyFill="1" applyBorder="1" applyAlignment="1" applyProtection="1">
      <alignment horizontal="left" vertical="center" wrapText="1"/>
      <protection/>
    </xf>
    <xf numFmtId="0" fontId="163" fillId="3" borderId="68" xfId="0" applyFont="1" applyFill="1" applyBorder="1" applyAlignment="1" applyProtection="1">
      <alignment horizontal="left" vertical="center" wrapText="1"/>
      <protection/>
    </xf>
    <xf numFmtId="0" fontId="163" fillId="3" borderId="66" xfId="0" applyFont="1" applyFill="1" applyBorder="1" applyAlignment="1" applyProtection="1">
      <alignment horizontal="left" vertical="center" wrapText="1"/>
      <protection/>
    </xf>
    <xf numFmtId="0" fontId="144" fillId="6" borderId="32" xfId="0" applyFont="1" applyFill="1" applyBorder="1" applyAlignment="1" applyProtection="1">
      <alignment horizontal="left" vertical="top" wrapText="1"/>
      <protection/>
    </xf>
    <xf numFmtId="0" fontId="144" fillId="6" borderId="0" xfId="0" applyFont="1" applyFill="1" applyBorder="1" applyAlignment="1" applyProtection="1">
      <alignment horizontal="left" vertical="top" wrapText="1"/>
      <protection/>
    </xf>
    <xf numFmtId="0" fontId="144" fillId="6" borderId="33" xfId="0" applyFont="1" applyFill="1" applyBorder="1" applyAlignment="1" applyProtection="1">
      <alignment horizontal="left" vertical="top" wrapText="1"/>
      <protection/>
    </xf>
    <xf numFmtId="0" fontId="144" fillId="0" borderId="0" xfId="0" applyFont="1" applyAlignment="1" applyProtection="1">
      <alignment horizontal="center"/>
      <protection locked="0"/>
    </xf>
    <xf numFmtId="0" fontId="144" fillId="35" borderId="0" xfId="0" applyFont="1" applyFill="1" applyAlignment="1" applyProtection="1">
      <alignment horizontal="center"/>
      <protection locked="0"/>
    </xf>
    <xf numFmtId="0" fontId="147" fillId="35" borderId="0" xfId="0" applyFont="1" applyFill="1" applyAlignment="1" applyProtection="1">
      <alignment horizontal="center"/>
      <protection locked="0"/>
    </xf>
    <xf numFmtId="0" fontId="146" fillId="61" borderId="22" xfId="0" applyFont="1" applyFill="1" applyBorder="1" applyAlignment="1" applyProtection="1">
      <alignment horizontal="left" vertical="center" wrapText="1"/>
      <protection/>
    </xf>
    <xf numFmtId="0" fontId="146" fillId="62" borderId="69" xfId="0" applyFont="1" applyFill="1" applyBorder="1" applyAlignment="1" applyProtection="1">
      <alignment horizontal="left" vertical="center"/>
      <protection/>
    </xf>
    <xf numFmtId="0" fontId="146" fillId="63" borderId="13" xfId="0" applyFont="1" applyFill="1" applyBorder="1" applyAlignment="1" applyProtection="1">
      <alignment horizontal="left" vertical="center"/>
      <protection/>
    </xf>
    <xf numFmtId="0" fontId="146" fillId="64" borderId="22" xfId="0" applyFont="1" applyFill="1" applyBorder="1" applyAlignment="1" applyProtection="1">
      <alignment horizontal="left" vertical="center"/>
      <protection/>
    </xf>
    <xf numFmtId="0" fontId="143" fillId="36" borderId="12" xfId="0" applyFont="1" applyFill="1" applyBorder="1" applyAlignment="1" applyProtection="1">
      <alignment horizontal="center" vertical="center"/>
      <protection locked="0"/>
    </xf>
    <xf numFmtId="0" fontId="143" fillId="36" borderId="13" xfId="0" applyFont="1" applyFill="1" applyBorder="1" applyAlignment="1" applyProtection="1">
      <alignment horizontal="center" vertical="center"/>
      <protection locked="0"/>
    </xf>
    <xf numFmtId="0" fontId="143" fillId="35" borderId="12" xfId="0" applyFont="1" applyFill="1" applyBorder="1" applyAlignment="1" applyProtection="1">
      <alignment horizontal="center" vertical="center"/>
      <protection locked="0"/>
    </xf>
    <xf numFmtId="0" fontId="143" fillId="35" borderId="13" xfId="0" applyFont="1" applyFill="1" applyBorder="1" applyAlignment="1" applyProtection="1">
      <alignment horizontal="center" vertical="center"/>
      <protection locked="0"/>
    </xf>
    <xf numFmtId="0" fontId="146" fillId="65" borderId="13" xfId="0" applyFont="1" applyFill="1" applyBorder="1" applyAlignment="1" applyProtection="1">
      <alignment horizontal="center" vertical="center" wrapText="1"/>
      <protection/>
    </xf>
    <xf numFmtId="0" fontId="143" fillId="36" borderId="70" xfId="0" applyFont="1" applyFill="1" applyBorder="1" applyAlignment="1" applyProtection="1">
      <alignment horizontal="center" vertical="center"/>
      <protection locked="0"/>
    </xf>
    <xf numFmtId="0" fontId="164" fillId="66" borderId="71" xfId="0" applyFont="1" applyFill="1" applyBorder="1" applyAlignment="1" applyProtection="1">
      <alignment horizontal="center" textRotation="255"/>
      <protection/>
    </xf>
    <xf numFmtId="0" fontId="164" fillId="66" borderId="72" xfId="0" applyFont="1" applyFill="1" applyBorder="1" applyAlignment="1" applyProtection="1">
      <alignment horizontal="center" textRotation="255"/>
      <protection/>
    </xf>
    <xf numFmtId="0" fontId="164" fillId="66" borderId="73" xfId="0" applyFont="1" applyFill="1" applyBorder="1" applyAlignment="1" applyProtection="1">
      <alignment horizontal="center" textRotation="255"/>
      <protection/>
    </xf>
    <xf numFmtId="0" fontId="144" fillId="67" borderId="74" xfId="0" applyFont="1" applyFill="1" applyBorder="1" applyAlignment="1" applyProtection="1">
      <alignment horizontal="center" wrapText="1"/>
      <protection/>
    </xf>
    <xf numFmtId="0" fontId="144" fillId="67" borderId="75" xfId="0" applyFont="1" applyFill="1" applyBorder="1" applyAlignment="1" applyProtection="1">
      <alignment horizontal="center" wrapText="1"/>
      <protection/>
    </xf>
    <xf numFmtId="0" fontId="144" fillId="67" borderId="76" xfId="0" applyFont="1" applyFill="1" applyBorder="1" applyAlignment="1" applyProtection="1">
      <alignment horizontal="center" wrapText="1"/>
      <protection/>
    </xf>
    <xf numFmtId="0" fontId="144" fillId="67" borderId="0" xfId="0" applyFont="1" applyFill="1" applyBorder="1" applyAlignment="1" applyProtection="1">
      <alignment horizontal="center" wrapText="1"/>
      <protection/>
    </xf>
    <xf numFmtId="0" fontId="144" fillId="67" borderId="77" xfId="0" applyFont="1" applyFill="1" applyBorder="1" applyAlignment="1" applyProtection="1">
      <alignment horizontal="center" wrapText="1"/>
      <protection/>
    </xf>
    <xf numFmtId="0" fontId="144" fillId="67" borderId="78" xfId="0" applyFont="1" applyFill="1" applyBorder="1" applyAlignment="1" applyProtection="1">
      <alignment horizontal="center" wrapText="1"/>
      <protection/>
    </xf>
    <xf numFmtId="0" fontId="165" fillId="68" borderId="13" xfId="0" applyFont="1" applyFill="1" applyBorder="1" applyAlignment="1" applyProtection="1">
      <alignment horizontal="left" vertical="center"/>
      <protection locked="0"/>
    </xf>
    <xf numFmtId="0" fontId="165" fillId="68" borderId="20" xfId="0" applyFont="1" applyFill="1" applyBorder="1" applyAlignment="1" applyProtection="1">
      <alignment horizontal="left" vertical="center"/>
      <protection locked="0"/>
    </xf>
    <xf numFmtId="0" fontId="143" fillId="36" borderId="14" xfId="0" applyFont="1" applyFill="1" applyBorder="1" applyAlignment="1" applyProtection="1">
      <alignment horizontal="center" vertical="center"/>
      <protection locked="0"/>
    </xf>
    <xf numFmtId="0" fontId="143" fillId="36" borderId="15" xfId="0" applyFont="1" applyFill="1" applyBorder="1" applyAlignment="1" applyProtection="1">
      <alignment horizontal="center" vertical="center"/>
      <protection locked="0"/>
    </xf>
    <xf numFmtId="0" fontId="166" fillId="6" borderId="15" xfId="53" applyFont="1" applyFill="1" applyBorder="1" applyAlignment="1">
      <alignment horizontal="center" vertical="center"/>
    </xf>
    <xf numFmtId="0" fontId="167" fillId="6" borderId="15" xfId="0" applyFont="1" applyFill="1" applyBorder="1" applyAlignment="1">
      <alignment horizontal="center" vertical="center"/>
    </xf>
    <xf numFmtId="0" fontId="168" fillId="4" borderId="32" xfId="0" applyFont="1" applyFill="1" applyBorder="1" applyAlignment="1" applyProtection="1">
      <alignment horizontal="left" vertical="center"/>
      <protection/>
    </xf>
    <xf numFmtId="0" fontId="168" fillId="4" borderId="0" xfId="0" applyFont="1" applyFill="1" applyBorder="1" applyAlignment="1" applyProtection="1">
      <alignment horizontal="left" vertical="center"/>
      <protection/>
    </xf>
    <xf numFmtId="0" fontId="168" fillId="4" borderId="33" xfId="0" applyFont="1" applyFill="1" applyBorder="1" applyAlignment="1" applyProtection="1">
      <alignment horizontal="left" vertical="center"/>
      <protection/>
    </xf>
    <xf numFmtId="0" fontId="169" fillId="7" borderId="13" xfId="0" applyFont="1" applyFill="1" applyBorder="1" applyAlignment="1" applyProtection="1">
      <alignment horizontal="center" vertical="center"/>
      <protection/>
    </xf>
    <xf numFmtId="0" fontId="169" fillId="7" borderId="70" xfId="0" applyFont="1" applyFill="1" applyBorder="1" applyAlignment="1" applyProtection="1">
      <alignment horizontal="center" vertical="center"/>
      <protection/>
    </xf>
    <xf numFmtId="0" fontId="144" fillId="69" borderId="0" xfId="0" applyFont="1" applyFill="1" applyBorder="1" applyAlignment="1" applyProtection="1">
      <alignment horizontal="center" vertical="center"/>
      <protection locked="0"/>
    </xf>
    <xf numFmtId="0" fontId="165" fillId="68" borderId="13" xfId="0" applyFont="1" applyFill="1" applyBorder="1" applyAlignment="1" applyProtection="1">
      <alignment horizontal="left"/>
      <protection/>
    </xf>
    <xf numFmtId="0" fontId="143" fillId="36" borderId="10" xfId="0" applyFont="1" applyFill="1" applyBorder="1" applyAlignment="1" applyProtection="1">
      <alignment horizontal="left" vertical="center"/>
      <protection locked="0"/>
    </xf>
    <xf numFmtId="0" fontId="170" fillId="68" borderId="79" xfId="0" applyFont="1" applyFill="1" applyBorder="1" applyAlignment="1" applyProtection="1">
      <alignment horizontal="left"/>
      <protection/>
    </xf>
    <xf numFmtId="0" fontId="171" fillId="36" borderId="12" xfId="0" applyFont="1" applyFill="1" applyBorder="1" applyAlignment="1" applyProtection="1">
      <alignment horizontal="right" vertical="center"/>
      <protection locked="0"/>
    </xf>
    <xf numFmtId="0" fontId="171" fillId="36" borderId="13" xfId="0" applyFont="1" applyFill="1" applyBorder="1" applyAlignment="1" applyProtection="1">
      <alignment horizontal="right" vertical="center"/>
      <protection locked="0"/>
    </xf>
    <xf numFmtId="0" fontId="171" fillId="36" borderId="70" xfId="0" applyFont="1" applyFill="1" applyBorder="1" applyAlignment="1" applyProtection="1">
      <alignment horizontal="right" vertical="center"/>
      <protection locked="0"/>
    </xf>
    <xf numFmtId="0" fontId="144" fillId="70" borderId="80" xfId="0" applyFont="1" applyFill="1" applyBorder="1" applyAlignment="1" applyProtection="1">
      <alignment horizontal="center" vertical="center"/>
      <protection/>
    </xf>
    <xf numFmtId="0" fontId="144" fillId="71" borderId="81" xfId="0" applyFont="1" applyFill="1" applyBorder="1" applyAlignment="1" applyProtection="1">
      <alignment horizontal="center" vertical="center"/>
      <protection/>
    </xf>
    <xf numFmtId="0" fontId="144" fillId="72" borderId="82" xfId="0" applyFont="1" applyFill="1" applyBorder="1" applyAlignment="1" applyProtection="1">
      <alignment horizontal="center" vertical="center"/>
      <protection/>
    </xf>
    <xf numFmtId="0" fontId="144" fillId="73" borderId="22" xfId="0" applyFont="1" applyFill="1" applyBorder="1" applyAlignment="1" applyProtection="1">
      <alignment horizontal="left" vertical="center" wrapText="1"/>
      <protection/>
    </xf>
    <xf numFmtId="0" fontId="144" fillId="74" borderId="10" xfId="0" applyFont="1" applyFill="1" applyBorder="1" applyAlignment="1" applyProtection="1">
      <alignment horizontal="left" vertical="center" wrapText="1"/>
      <protection/>
    </xf>
    <xf numFmtId="0" fontId="143" fillId="36" borderId="22" xfId="0" applyFont="1" applyFill="1" applyBorder="1" applyAlignment="1" applyProtection="1">
      <alignment horizontal="center" vertical="center"/>
      <protection locked="0"/>
    </xf>
    <xf numFmtId="0" fontId="144" fillId="75" borderId="15" xfId="0" applyFont="1" applyFill="1" applyBorder="1" applyAlignment="1" applyProtection="1">
      <alignment horizontal="left" vertical="center"/>
      <protection locked="0"/>
    </xf>
    <xf numFmtId="0" fontId="172" fillId="19" borderId="74" xfId="0" applyFont="1" applyFill="1" applyBorder="1" applyAlignment="1" applyProtection="1">
      <alignment horizontal="left" vertical="top" wrapText="1"/>
      <protection/>
    </xf>
    <xf numFmtId="0" fontId="172" fillId="19" borderId="75" xfId="0" applyFont="1" applyFill="1" applyBorder="1" applyAlignment="1" applyProtection="1">
      <alignment horizontal="left" vertical="top" wrapText="1"/>
      <protection/>
    </xf>
    <xf numFmtId="0" fontId="172" fillId="19" borderId="83" xfId="0" applyFont="1" applyFill="1" applyBorder="1" applyAlignment="1" applyProtection="1">
      <alignment horizontal="left" vertical="top" wrapText="1"/>
      <protection/>
    </xf>
    <xf numFmtId="0" fontId="172" fillId="19" borderId="76" xfId="0" applyFont="1" applyFill="1" applyBorder="1" applyAlignment="1" applyProtection="1">
      <alignment horizontal="left" vertical="top" wrapText="1"/>
      <protection/>
    </xf>
    <xf numFmtId="0" fontId="172" fillId="19" borderId="0" xfId="0" applyFont="1" applyFill="1" applyBorder="1" applyAlignment="1" applyProtection="1">
      <alignment horizontal="left" vertical="top" wrapText="1"/>
      <protection/>
    </xf>
    <xf numFmtId="0" fontId="172" fillId="19" borderId="84" xfId="0" applyFont="1" applyFill="1" applyBorder="1" applyAlignment="1" applyProtection="1">
      <alignment horizontal="left" vertical="top" wrapText="1"/>
      <protection/>
    </xf>
    <xf numFmtId="0" fontId="172" fillId="19" borderId="77" xfId="0" applyFont="1" applyFill="1" applyBorder="1" applyAlignment="1" applyProtection="1">
      <alignment horizontal="left" vertical="top" wrapText="1"/>
      <protection/>
    </xf>
    <xf numFmtId="0" fontId="172" fillId="19" borderId="78" xfId="0" applyFont="1" applyFill="1" applyBorder="1" applyAlignment="1" applyProtection="1">
      <alignment horizontal="left" vertical="top" wrapText="1"/>
      <protection/>
    </xf>
    <xf numFmtId="0" fontId="172" fillId="19" borderId="85" xfId="0" applyFont="1" applyFill="1" applyBorder="1" applyAlignment="1" applyProtection="1">
      <alignment horizontal="left" vertical="top" wrapText="1"/>
      <protection/>
    </xf>
    <xf numFmtId="0" fontId="144" fillId="47" borderId="86" xfId="0" applyFont="1" applyFill="1" applyBorder="1" applyAlignment="1" applyProtection="1">
      <alignment horizontal="center" vertical="center"/>
      <protection locked="0"/>
    </xf>
    <xf numFmtId="0" fontId="144" fillId="47" borderId="0" xfId="0" applyFont="1" applyFill="1" applyAlignment="1" applyProtection="1">
      <alignment horizontal="center" vertical="center"/>
      <protection locked="0"/>
    </xf>
    <xf numFmtId="0" fontId="144" fillId="76" borderId="22" xfId="0" applyFont="1" applyFill="1" applyBorder="1" applyAlignment="1" applyProtection="1">
      <alignment horizontal="left" vertical="center"/>
      <protection/>
    </xf>
    <xf numFmtId="0" fontId="144" fillId="77" borderId="10" xfId="0" applyFont="1" applyFill="1" applyBorder="1" applyAlignment="1" applyProtection="1">
      <alignment horizontal="left" vertical="center"/>
      <protection/>
    </xf>
    <xf numFmtId="0" fontId="145" fillId="78" borderId="10" xfId="0" applyFont="1" applyFill="1" applyBorder="1" applyAlignment="1" applyProtection="1">
      <alignment horizontal="left" vertical="center" wrapText="1"/>
      <protection/>
    </xf>
    <xf numFmtId="0" fontId="173" fillId="4" borderId="32" xfId="0" applyFont="1" applyFill="1" applyBorder="1" applyAlignment="1" applyProtection="1">
      <alignment horizontal="left" vertical="center" wrapText="1"/>
      <protection/>
    </xf>
    <xf numFmtId="0" fontId="173" fillId="4" borderId="0" xfId="0" applyFont="1" applyFill="1" applyBorder="1" applyAlignment="1" applyProtection="1">
      <alignment horizontal="left" vertical="center" wrapText="1"/>
      <protection/>
    </xf>
    <xf numFmtId="0" fontId="173" fillId="4" borderId="33" xfId="0" applyFont="1" applyFill="1" applyBorder="1" applyAlignment="1" applyProtection="1">
      <alignment horizontal="left" vertical="center" wrapText="1"/>
      <protection/>
    </xf>
    <xf numFmtId="0" fontId="173" fillId="4" borderId="34" xfId="0" applyFont="1" applyFill="1" applyBorder="1" applyAlignment="1" applyProtection="1">
      <alignment horizontal="left" vertical="center" wrapText="1"/>
      <protection/>
    </xf>
    <xf numFmtId="0" fontId="173" fillId="4" borderId="35" xfId="0" applyFont="1" applyFill="1" applyBorder="1" applyAlignment="1" applyProtection="1">
      <alignment horizontal="left" vertical="center" wrapText="1"/>
      <protection/>
    </xf>
    <xf numFmtId="0" fontId="173" fillId="4" borderId="36" xfId="0" applyFont="1" applyFill="1" applyBorder="1" applyAlignment="1" applyProtection="1">
      <alignment horizontal="left" vertical="center" wrapText="1"/>
      <protection/>
    </xf>
    <xf numFmtId="0" fontId="171" fillId="79" borderId="67" xfId="0" applyFont="1" applyFill="1" applyBorder="1" applyAlignment="1" applyProtection="1">
      <alignment horizontal="center"/>
      <protection/>
    </xf>
    <xf numFmtId="0" fontId="171" fillId="79" borderId="68" xfId="0" applyFont="1" applyFill="1" applyBorder="1" applyAlignment="1" applyProtection="1">
      <alignment horizontal="center"/>
      <protection/>
    </xf>
    <xf numFmtId="0" fontId="171" fillId="79" borderId="66" xfId="0" applyFont="1" applyFill="1" applyBorder="1" applyAlignment="1" applyProtection="1">
      <alignment horizontal="center"/>
      <protection/>
    </xf>
    <xf numFmtId="0" fontId="143" fillId="36" borderId="12" xfId="0" applyFont="1" applyFill="1" applyBorder="1" applyAlignment="1" applyProtection="1">
      <alignment horizontal="left" vertical="center"/>
      <protection locked="0"/>
    </xf>
    <xf numFmtId="0" fontId="143" fillId="36" borderId="13" xfId="0" applyFont="1" applyFill="1" applyBorder="1" applyAlignment="1" applyProtection="1">
      <alignment horizontal="left" vertical="center"/>
      <protection locked="0"/>
    </xf>
    <xf numFmtId="0" fontId="143" fillId="36" borderId="70" xfId="0" applyFont="1" applyFill="1" applyBorder="1" applyAlignment="1" applyProtection="1">
      <alignment horizontal="left" vertical="center"/>
      <protection locked="0"/>
    </xf>
    <xf numFmtId="0" fontId="144" fillId="80" borderId="12" xfId="0" applyFont="1" applyFill="1" applyBorder="1" applyAlignment="1" applyProtection="1">
      <alignment horizontal="left" vertical="center"/>
      <protection/>
    </xf>
    <xf numFmtId="0" fontId="144" fillId="81" borderId="13" xfId="0" applyFont="1" applyFill="1" applyBorder="1" applyAlignment="1" applyProtection="1">
      <alignment horizontal="left" vertical="center"/>
      <protection/>
    </xf>
    <xf numFmtId="0" fontId="167" fillId="3" borderId="0" xfId="0" applyFont="1" applyFill="1" applyAlignment="1">
      <alignment horizontal="center" vertical="center"/>
    </xf>
    <xf numFmtId="0" fontId="146" fillId="82" borderId="12" xfId="0" applyFont="1" applyFill="1" applyBorder="1" applyAlignment="1" applyProtection="1">
      <alignment horizontal="left" vertical="center" wrapText="1"/>
      <protection/>
    </xf>
    <xf numFmtId="0" fontId="144" fillId="83" borderId="15" xfId="0" applyFont="1" applyFill="1" applyBorder="1" applyAlignment="1" applyProtection="1">
      <alignment horizontal="left" vertical="center"/>
      <protection/>
    </xf>
    <xf numFmtId="0" fontId="143" fillId="48" borderId="20" xfId="0" applyFont="1" applyFill="1" applyBorder="1" applyAlignment="1" applyProtection="1">
      <alignment horizontal="center" vertical="center"/>
      <protection locked="0"/>
    </xf>
    <xf numFmtId="0" fontId="139" fillId="0" borderId="12" xfId="0" applyFont="1" applyBorder="1" applyAlignment="1" applyProtection="1">
      <alignment horizontal="center"/>
      <protection hidden="1"/>
    </xf>
    <xf numFmtId="0" fontId="139" fillId="0" borderId="22" xfId="0" applyFont="1" applyBorder="1" applyAlignment="1" applyProtection="1">
      <alignment horizontal="center"/>
      <protection hidden="1"/>
    </xf>
    <xf numFmtId="0" fontId="0" fillId="54" borderId="10" xfId="0" applyFill="1" applyBorder="1" applyAlignment="1" applyProtection="1">
      <alignment horizontal="center" wrapText="1"/>
      <protection hidden="1"/>
    </xf>
    <xf numFmtId="0" fontId="140" fillId="54" borderId="10" xfId="0" applyFont="1" applyFill="1" applyBorder="1" applyAlignment="1" applyProtection="1">
      <alignment horizontal="center" wrapText="1"/>
      <protection hidden="1"/>
    </xf>
    <xf numFmtId="0" fontId="0" fillId="54" borderId="10" xfId="0" applyFill="1" applyBorder="1" applyAlignment="1" applyProtection="1">
      <alignment horizontal="center" vertical="center"/>
      <protection hidden="1"/>
    </xf>
    <xf numFmtId="0" fontId="139" fillId="0" borderId="44" xfId="0" applyFont="1" applyBorder="1" applyAlignment="1" applyProtection="1">
      <alignment horizontal="center"/>
      <protection hidden="1"/>
    </xf>
    <xf numFmtId="0" fontId="139" fillId="0" borderId="41" xfId="0" applyFont="1" applyBorder="1" applyAlignment="1" applyProtection="1">
      <alignment horizontal="center"/>
      <protection hidden="1"/>
    </xf>
    <xf numFmtId="0" fontId="137" fillId="0" borderId="10" xfId="0" applyFont="1" applyBorder="1" applyAlignment="1" applyProtection="1">
      <alignment horizontal="center" wrapText="1"/>
      <protection hidden="1"/>
    </xf>
    <xf numFmtId="0" fontId="142" fillId="0" borderId="12" xfId="0" applyFont="1" applyBorder="1" applyAlignment="1" applyProtection="1">
      <alignment horizontal="center"/>
      <protection hidden="1"/>
    </xf>
    <xf numFmtId="0" fontId="142" fillId="0" borderId="13" xfId="0" applyFont="1" applyBorder="1" applyAlignment="1" applyProtection="1">
      <alignment horizontal="center"/>
      <protection hidden="1"/>
    </xf>
    <xf numFmtId="0" fontId="142" fillId="0" borderId="22" xfId="0" applyFont="1" applyBorder="1" applyAlignment="1" applyProtection="1">
      <alignment horizontal="center"/>
      <protection hidden="1"/>
    </xf>
    <xf numFmtId="0" fontId="139" fillId="0" borderId="10" xfId="0" applyFont="1" applyBorder="1" applyAlignment="1" applyProtection="1">
      <alignment horizontal="center"/>
      <protection hidden="1"/>
    </xf>
    <xf numFmtId="0" fontId="139" fillId="0" borderId="87" xfId="0" applyFont="1" applyBorder="1" applyAlignment="1" applyProtection="1">
      <alignment horizontal="center" wrapText="1"/>
      <protection hidden="1"/>
    </xf>
    <xf numFmtId="0" fontId="139" fillId="0" borderId="42" xfId="0" applyFont="1" applyBorder="1" applyAlignment="1" applyProtection="1">
      <alignment horizontal="center" wrapText="1"/>
      <protection hidden="1"/>
    </xf>
    <xf numFmtId="0" fontId="139" fillId="0" borderId="44" xfId="0" applyFont="1" applyBorder="1" applyAlignment="1" applyProtection="1">
      <alignment horizontal="center" wrapText="1"/>
      <protection hidden="1"/>
    </xf>
    <xf numFmtId="0" fontId="139" fillId="0" borderId="41" xfId="0" applyFont="1" applyBorder="1" applyAlignment="1" applyProtection="1">
      <alignment horizontal="center" wrapText="1"/>
      <protection hidden="1"/>
    </xf>
    <xf numFmtId="0" fontId="139" fillId="0" borderId="87" xfId="0" applyFont="1" applyBorder="1" applyAlignment="1" applyProtection="1">
      <alignment horizontal="center"/>
      <protection hidden="1"/>
    </xf>
    <xf numFmtId="0" fontId="139" fillId="0" borderId="42" xfId="0" applyFont="1" applyBorder="1" applyAlignment="1" applyProtection="1">
      <alignment horizontal="center"/>
      <protection hidden="1"/>
    </xf>
    <xf numFmtId="0" fontId="139" fillId="0" borderId="15" xfId="0" applyFont="1" applyBorder="1" applyAlignment="1" applyProtection="1">
      <alignment horizontal="left" vertical="center" wrapText="1"/>
      <protection hidden="1"/>
    </xf>
    <xf numFmtId="0" fontId="0" fillId="54" borderId="10" xfId="0" applyFill="1" applyBorder="1" applyAlignment="1" applyProtection="1">
      <alignment horizontal="center"/>
      <protection hidden="1"/>
    </xf>
    <xf numFmtId="0" fontId="157" fillId="54" borderId="10" xfId="0" applyFont="1" applyFill="1" applyBorder="1" applyAlignment="1" applyProtection="1">
      <alignment horizontal="center" wrapText="1"/>
      <protection hidden="1"/>
    </xf>
    <xf numFmtId="0" fontId="157" fillId="0" borderId="12" xfId="0" applyFont="1" applyBorder="1" applyAlignment="1" applyProtection="1">
      <alignment horizontal="center" shrinkToFit="1"/>
      <protection hidden="1"/>
    </xf>
    <xf numFmtId="0" fontId="157" fillId="0" borderId="22" xfId="0" applyFont="1" applyBorder="1" applyAlignment="1" applyProtection="1">
      <alignment horizontal="center" shrinkToFit="1"/>
      <protection hidden="1"/>
    </xf>
    <xf numFmtId="0" fontId="157" fillId="0" borderId="12" xfId="0" applyFont="1" applyBorder="1" applyAlignment="1" applyProtection="1">
      <alignment horizontal="center"/>
      <protection hidden="1"/>
    </xf>
    <xf numFmtId="0" fontId="157" fillId="0" borderId="22" xfId="0" applyFont="1" applyBorder="1" applyAlignment="1" applyProtection="1">
      <alignment horizontal="center"/>
      <protection hidden="1"/>
    </xf>
    <xf numFmtId="0" fontId="3"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wrapText="1"/>
    </xf>
    <xf numFmtId="0" fontId="5" fillId="0" borderId="12" xfId="0" applyFont="1" applyBorder="1" applyAlignment="1">
      <alignment horizontal="right" vertical="center" wrapText="1" indent="1"/>
    </xf>
    <xf numFmtId="0" fontId="5" fillId="0" borderId="13" xfId="0" applyFont="1" applyBorder="1" applyAlignment="1">
      <alignment horizontal="right" vertical="center" wrapText="1" indent="1"/>
    </xf>
    <xf numFmtId="0" fontId="5" fillId="0" borderId="22" xfId="0" applyFont="1" applyBorder="1" applyAlignment="1">
      <alignment horizontal="right" vertical="center" wrapText="1" inden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2" fontId="5" fillId="0" borderId="12" xfId="0" applyNumberFormat="1" applyFont="1" applyBorder="1" applyAlignment="1">
      <alignment horizontal="center" vertical="center" wrapText="1"/>
    </xf>
    <xf numFmtId="43" fontId="5" fillId="0" borderId="12" xfId="42" applyNumberFormat="1" applyFont="1" applyBorder="1" applyAlignment="1">
      <alignment horizontal="center" vertical="center" wrapText="1"/>
    </xf>
    <xf numFmtId="43" fontId="5" fillId="0" borderId="13" xfId="42" applyNumberFormat="1" applyFont="1" applyBorder="1" applyAlignment="1">
      <alignment horizontal="center" vertical="center" wrapText="1"/>
    </xf>
    <xf numFmtId="43" fontId="5" fillId="0" borderId="22" xfId="42" applyNumberFormat="1" applyFont="1" applyBorder="1" applyAlignment="1">
      <alignment horizontal="center" vertical="center" wrapText="1"/>
    </xf>
    <xf numFmtId="43" fontId="5" fillId="0" borderId="12" xfId="0" applyNumberFormat="1"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3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169" fontId="5" fillId="0" borderId="31" xfId="0" applyNumberFormat="1" applyFont="1" applyBorder="1" applyAlignment="1">
      <alignment horizontal="center" vertical="center" textRotation="90" wrapText="1"/>
    </xf>
    <xf numFmtId="169" fontId="5" fillId="0" borderId="53" xfId="0" applyNumberFormat="1" applyFont="1" applyBorder="1" applyAlignment="1">
      <alignment horizontal="center" vertical="center" textRotation="90" wrapText="1"/>
    </xf>
    <xf numFmtId="169" fontId="5" fillId="0" borderId="54" xfId="0" applyNumberFormat="1" applyFont="1" applyBorder="1" applyAlignment="1">
      <alignment horizontal="center" vertical="center" textRotation="90" wrapText="1"/>
    </xf>
    <xf numFmtId="170" fontId="5" fillId="0" borderId="12" xfId="42" applyNumberFormat="1" applyFont="1" applyBorder="1" applyAlignment="1">
      <alignment horizontal="center" vertical="center" wrapText="1"/>
    </xf>
    <xf numFmtId="170" fontId="5" fillId="0" borderId="13" xfId="42" applyNumberFormat="1" applyFont="1" applyBorder="1" applyAlignment="1">
      <alignment horizontal="center" vertical="center" wrapText="1"/>
    </xf>
    <xf numFmtId="170" fontId="5" fillId="0" borderId="22" xfId="42" applyNumberFormat="1" applyFont="1" applyBorder="1" applyAlignment="1">
      <alignment horizontal="center" vertical="center" wrapText="1"/>
    </xf>
    <xf numFmtId="0" fontId="3" fillId="0" borderId="0" xfId="0" applyFont="1" applyAlignment="1">
      <alignment horizontal="right" vertical="center" wrapText="1"/>
    </xf>
    <xf numFmtId="0" fontId="50" fillId="0" borderId="0" xfId="0" applyFont="1" applyAlignment="1">
      <alignment horizontal="center" vertical="center"/>
    </xf>
    <xf numFmtId="0" fontId="5" fillId="0" borderId="0" xfId="0" applyFont="1" applyAlignment="1">
      <alignment horizontal="left" vertical="center"/>
    </xf>
    <xf numFmtId="164" fontId="3" fillId="0" borderId="0" xfId="0" applyNumberFormat="1" applyFont="1" applyAlignment="1">
      <alignment horizontal="left" vertical="center"/>
    </xf>
    <xf numFmtId="0" fontId="6" fillId="0" borderId="0" xfId="0" applyFont="1" applyAlignment="1">
      <alignment horizontal="center" vertical="center"/>
    </xf>
    <xf numFmtId="0" fontId="174" fillId="0" borderId="0" xfId="0" applyFont="1" applyAlignment="1" applyProtection="1">
      <alignment horizontal="center"/>
      <protection hidden="1"/>
    </xf>
    <xf numFmtId="0" fontId="0" fillId="0" borderId="0" xfId="0" applyAlignment="1" applyProtection="1">
      <alignment horizontal="center" wrapText="1"/>
      <protection hidden="1"/>
    </xf>
    <xf numFmtId="0" fontId="0" fillId="0" borderId="0" xfId="0" applyAlignment="1" applyProtection="1">
      <alignment horizontal="center"/>
      <protection hidden="1"/>
    </xf>
    <xf numFmtId="0" fontId="0" fillId="0" borderId="0" xfId="0" applyAlignment="1" applyProtection="1">
      <alignment horizontal="left"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164" fontId="3" fillId="0" borderId="0" xfId="0" applyNumberFormat="1" applyFont="1" applyAlignment="1" applyProtection="1">
      <alignment horizontal="left" vertical="center"/>
      <protection hidden="1"/>
    </xf>
    <xf numFmtId="14" fontId="0" fillId="0" borderId="0" xfId="0" applyNumberFormat="1" applyAlignment="1" applyProtection="1">
      <alignment horizontal="left" wrapText="1"/>
      <protection hidden="1"/>
    </xf>
    <xf numFmtId="14" fontId="0" fillId="0" borderId="0" xfId="0" applyNumberFormat="1" applyAlignment="1" applyProtection="1">
      <alignment horizontal="left"/>
      <protection hidden="1"/>
    </xf>
    <xf numFmtId="43" fontId="3" fillId="0" borderId="13" xfId="42" applyNumberFormat="1" applyFont="1" applyBorder="1" applyAlignment="1">
      <alignment horizontal="left" vertical="center"/>
    </xf>
    <xf numFmtId="43" fontId="3" fillId="0" borderId="12" xfId="42" applyFont="1" applyBorder="1" applyAlignment="1">
      <alignment horizontal="left" vertical="center"/>
    </xf>
    <xf numFmtId="43" fontId="3" fillId="0" borderId="13" xfId="42" applyFont="1" applyBorder="1" applyAlignment="1">
      <alignment horizontal="left" vertical="center"/>
    </xf>
    <xf numFmtId="0" fontId="5" fillId="0" borderId="30" xfId="0" applyFont="1" applyBorder="1" applyAlignment="1">
      <alignment horizontal="left" vertical="center" wrapText="1"/>
    </xf>
    <xf numFmtId="0" fontId="6" fillId="0" borderId="30" xfId="0" applyFont="1" applyBorder="1" applyAlignment="1">
      <alignment horizontal="left" vertical="center" wrapText="1"/>
    </xf>
    <xf numFmtId="0" fontId="6" fillId="0" borderId="59" xfId="0" applyFont="1" applyBorder="1" applyAlignment="1">
      <alignment horizontal="left" vertical="center" wrapText="1"/>
    </xf>
    <xf numFmtId="0" fontId="6" fillId="0" borderId="2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3" fontId="3" fillId="0" borderId="12" xfId="0" applyNumberFormat="1" applyFont="1" applyBorder="1" applyAlignment="1">
      <alignment horizontal="left" vertical="center"/>
    </xf>
    <xf numFmtId="0" fontId="3" fillId="0" borderId="13" xfId="0" applyFont="1" applyBorder="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3" fillId="0" borderId="0" xfId="0" applyFont="1" applyBorder="1" applyAlignment="1">
      <alignment horizontal="left" vertical="center" indent="1" shrinkToFit="1"/>
    </xf>
    <xf numFmtId="0" fontId="3" fillId="0" borderId="18" xfId="0" applyFont="1" applyBorder="1" applyAlignment="1">
      <alignment horizontal="left" vertical="center" indent="1" shrinkToFit="1"/>
    </xf>
    <xf numFmtId="0" fontId="3" fillId="0" borderId="15" xfId="0" applyFont="1" applyBorder="1" applyAlignment="1">
      <alignment horizontal="left" vertical="center"/>
    </xf>
    <xf numFmtId="0" fontId="5"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0" xfId="0" applyFont="1" applyBorder="1" applyAlignment="1">
      <alignment horizontal="center" vertical="center"/>
    </xf>
    <xf numFmtId="0" fontId="3" fillId="0" borderId="0" xfId="0" applyFont="1" applyBorder="1" applyAlignment="1">
      <alignment horizontal="left" vertical="center" indent="1"/>
    </xf>
    <xf numFmtId="0" fontId="3" fillId="0" borderId="18" xfId="0" applyFont="1" applyBorder="1" applyAlignment="1">
      <alignment horizontal="left" vertical="center" indent="1"/>
    </xf>
    <xf numFmtId="0" fontId="5" fillId="0" borderId="13" xfId="0" applyFont="1" applyBorder="1" applyAlignment="1">
      <alignment horizontal="left" vertical="center" wrapText="1"/>
    </xf>
    <xf numFmtId="164" fontId="3" fillId="0" borderId="0" xfId="0" applyNumberFormat="1" applyFont="1" applyBorder="1" applyAlignment="1">
      <alignment horizontal="left" vertical="center"/>
    </xf>
    <xf numFmtId="164" fontId="3" fillId="0" borderId="18" xfId="0" applyNumberFormat="1" applyFont="1" applyBorder="1" applyAlignment="1">
      <alignment horizontal="left" vertical="center"/>
    </xf>
    <xf numFmtId="43" fontId="3" fillId="0" borderId="17" xfId="42" applyFont="1" applyBorder="1" applyAlignment="1">
      <alignment horizontal="left" vertical="center"/>
    </xf>
    <xf numFmtId="43" fontId="3" fillId="0" borderId="0" xfId="42" applyFont="1" applyBorder="1" applyAlignment="1">
      <alignment horizontal="left" vertical="center"/>
    </xf>
    <xf numFmtId="0" fontId="5" fillId="0" borderId="15" xfId="0" applyFont="1" applyBorder="1" applyAlignment="1" quotePrefix="1">
      <alignment horizontal="left" vertical="center" wrapText="1"/>
    </xf>
    <xf numFmtId="2" fontId="3" fillId="0" borderId="20" xfId="42" applyNumberFormat="1" applyFont="1" applyBorder="1" applyAlignment="1">
      <alignment horizontal="left" vertical="center" indent="1"/>
    </xf>
    <xf numFmtId="0" fontId="5" fillId="0" borderId="15" xfId="0" applyFont="1" applyBorder="1" applyAlignment="1">
      <alignment horizontal="center" vertical="center" wrapText="1"/>
    </xf>
    <xf numFmtId="2" fontId="3" fillId="0" borderId="27" xfId="0" applyNumberFormat="1" applyFont="1" applyBorder="1" applyAlignment="1">
      <alignment horizontal="left" vertical="center" indent="1"/>
    </xf>
    <xf numFmtId="0" fontId="3" fillId="0" borderId="88" xfId="0" applyFont="1" applyBorder="1" applyAlignment="1">
      <alignment horizontal="left" vertical="center"/>
    </xf>
    <xf numFmtId="0" fontId="3" fillId="0" borderId="89" xfId="0" applyFont="1" applyBorder="1" applyAlignment="1">
      <alignment horizontal="left" vertical="center"/>
    </xf>
    <xf numFmtId="2" fontId="3" fillId="0" borderId="15" xfId="42" applyNumberFormat="1" applyFont="1" applyBorder="1" applyAlignment="1">
      <alignment horizontal="left" vertical="center" inden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43" fontId="3" fillId="0" borderId="27" xfId="42" applyFont="1" applyBorder="1" applyAlignment="1">
      <alignment horizontal="left" vertical="center"/>
    </xf>
    <xf numFmtId="43" fontId="3" fillId="0" borderId="26" xfId="42" applyFont="1" applyBorder="1" applyAlignment="1">
      <alignment horizontal="left" vertical="center"/>
    </xf>
    <xf numFmtId="2" fontId="3" fillId="0" borderId="13" xfId="0" applyNumberFormat="1" applyFont="1" applyBorder="1" applyAlignment="1" applyProtection="1">
      <alignment horizontal="center" vertical="center"/>
      <protection/>
    </xf>
    <xf numFmtId="43" fontId="20" fillId="0" borderId="13" xfId="42" applyFont="1" applyBorder="1" applyAlignment="1">
      <alignment horizontal="center" vertical="center"/>
    </xf>
    <xf numFmtId="43" fontId="20" fillId="0" borderId="22" xfId="42" applyFont="1" applyBorder="1" applyAlignment="1">
      <alignment horizontal="center" vertical="center"/>
    </xf>
    <xf numFmtId="43" fontId="3" fillId="0" borderId="13" xfId="42" applyFont="1" applyBorder="1" applyAlignment="1">
      <alignment horizontal="center" vertical="center"/>
    </xf>
    <xf numFmtId="0" fontId="3" fillId="0" borderId="13" xfId="0" applyFont="1" applyBorder="1" applyAlignment="1">
      <alignment horizontal="right" vertical="center"/>
    </xf>
    <xf numFmtId="2" fontId="3" fillId="0" borderId="13" xfId="0" applyNumberFormat="1" applyFont="1" applyBorder="1" applyAlignment="1">
      <alignment horizontal="center" vertical="center"/>
    </xf>
    <xf numFmtId="0" fontId="6" fillId="0" borderId="13" xfId="0" applyFont="1" applyBorder="1" applyAlignment="1">
      <alignment horizontal="right" vertical="center"/>
    </xf>
    <xf numFmtId="0" fontId="6" fillId="0" borderId="22" xfId="0" applyFont="1" applyBorder="1" applyAlignment="1">
      <alignment horizontal="right"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164" fontId="5" fillId="0" borderId="0" xfId="0" applyNumberFormat="1" applyFont="1" applyAlignment="1">
      <alignment horizontal="left" vertical="center"/>
    </xf>
    <xf numFmtId="0" fontId="9" fillId="0" borderId="0" xfId="0" applyFont="1" applyAlignment="1">
      <alignment horizontal="center" vertical="center"/>
    </xf>
    <xf numFmtId="0" fontId="5" fillId="0" borderId="13" xfId="0" applyFont="1" applyBorder="1" applyAlignment="1">
      <alignment horizontal="left" vertical="center"/>
    </xf>
    <xf numFmtId="0" fontId="5" fillId="0" borderId="22" xfId="0" applyFont="1" applyBorder="1" applyAlignment="1">
      <alignment horizontal="left" vertical="center"/>
    </xf>
    <xf numFmtId="0" fontId="6" fillId="0" borderId="0" xfId="0" applyFont="1" applyAlignment="1">
      <alignment horizontal="center" vertical="center" wrapText="1"/>
    </xf>
    <xf numFmtId="2" fontId="3" fillId="0" borderId="13" xfId="42" applyNumberFormat="1" applyFont="1" applyBorder="1" applyAlignment="1">
      <alignment horizontal="left" vertical="center"/>
    </xf>
    <xf numFmtId="0" fontId="3" fillId="0" borderId="18" xfId="0" applyFont="1" applyBorder="1" applyAlignment="1">
      <alignment horizontal="left" vertical="center"/>
    </xf>
    <xf numFmtId="0" fontId="6" fillId="0" borderId="13" xfId="0" applyFont="1" applyBorder="1" applyAlignment="1">
      <alignment horizontal="left" vertical="center"/>
    </xf>
    <xf numFmtId="0" fontId="6" fillId="0" borderId="22" xfId="0" applyFont="1" applyBorder="1" applyAlignment="1">
      <alignment horizontal="left" vertical="center"/>
    </xf>
    <xf numFmtId="43" fontId="6" fillId="0" borderId="13" xfId="42" applyFont="1" applyBorder="1" applyAlignment="1">
      <alignment horizontal="center" vertical="center"/>
    </xf>
    <xf numFmtId="2" fontId="3" fillId="0" borderId="15" xfId="0" applyNumberFormat="1" applyFont="1" applyBorder="1" applyAlignment="1">
      <alignment horizontal="center" vertical="center"/>
    </xf>
    <xf numFmtId="2" fontId="3" fillId="0" borderId="12" xfId="0" applyNumberFormat="1" applyFont="1" applyBorder="1" applyAlignment="1">
      <alignment horizontal="left" vertical="center" indent="1"/>
    </xf>
    <xf numFmtId="2" fontId="3" fillId="0" borderId="13" xfId="0" applyNumberFormat="1"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5" fillId="0" borderId="12" xfId="0" applyFont="1" applyBorder="1" applyAlignment="1">
      <alignment horizontal="left" vertical="center"/>
    </xf>
    <xf numFmtId="165" fontId="3" fillId="0" borderId="20" xfId="42" applyNumberFormat="1" applyFont="1" applyBorder="1" applyAlignment="1">
      <alignment horizontal="left" vertical="center"/>
    </xf>
    <xf numFmtId="0" fontId="11" fillId="0" borderId="12" xfId="0" applyFont="1" applyBorder="1" applyAlignment="1" applyProtection="1">
      <alignment horizontal="center"/>
      <protection hidden="1"/>
    </xf>
    <xf numFmtId="0" fontId="11" fillId="0" borderId="22" xfId="0" applyFont="1" applyBorder="1" applyAlignment="1" applyProtection="1">
      <alignment horizontal="center"/>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1" fillId="0" borderId="90" xfId="0" applyFont="1" applyBorder="1" applyAlignment="1" applyProtection="1">
      <alignment horizontal="center"/>
      <protection hidden="1"/>
    </xf>
    <xf numFmtId="0" fontId="11" fillId="0" borderId="91" xfId="0" applyFont="1" applyBorder="1" applyAlignment="1" applyProtection="1">
      <alignment horizontal="center"/>
      <protection hidden="1"/>
    </xf>
    <xf numFmtId="0" fontId="22" fillId="0" borderId="14" xfId="0" applyFont="1" applyBorder="1" applyAlignment="1" applyProtection="1">
      <alignment horizontal="center" vertical="center" shrinkToFit="1"/>
      <protection hidden="1" locked="0"/>
    </xf>
    <xf numFmtId="0" fontId="22" fillId="0" borderId="15" xfId="0" applyFont="1" applyBorder="1" applyAlignment="1" applyProtection="1">
      <alignment horizontal="center" vertical="center" shrinkToFit="1"/>
      <protection hidden="1" locked="0"/>
    </xf>
    <xf numFmtId="0" fontId="22" fillId="0" borderId="16" xfId="0" applyFont="1" applyBorder="1" applyAlignment="1" applyProtection="1">
      <alignment horizontal="center" vertical="center" shrinkToFit="1"/>
      <protection hidden="1" locked="0"/>
    </xf>
    <xf numFmtId="0" fontId="12" fillId="0" borderId="0"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1" fontId="15" fillId="0" borderId="12" xfId="0" applyNumberFormat="1" applyFont="1" applyBorder="1" applyAlignment="1" applyProtection="1">
      <alignment horizontal="center" vertical="center"/>
      <protection hidden="1"/>
    </xf>
    <xf numFmtId="1" fontId="15" fillId="0" borderId="22" xfId="0" applyNumberFormat="1" applyFont="1" applyBorder="1" applyAlignment="1" applyProtection="1">
      <alignment horizontal="center" vertical="center"/>
      <protection hidden="1"/>
    </xf>
    <xf numFmtId="0" fontId="11" fillId="0" borderId="0" xfId="0" applyFont="1" applyBorder="1" applyAlignment="1" applyProtection="1">
      <alignment/>
      <protection hidden="1"/>
    </xf>
    <xf numFmtId="0" fontId="11" fillId="0" borderId="18" xfId="0" applyFont="1" applyBorder="1" applyAlignment="1" applyProtection="1">
      <alignment/>
      <protection hidden="1"/>
    </xf>
    <xf numFmtId="1" fontId="11" fillId="0" borderId="17" xfId="0" applyNumberFormat="1" applyFont="1" applyBorder="1" applyAlignment="1" applyProtection="1">
      <alignment horizontal="center" textRotation="90"/>
      <protection hidden="1" locked="0"/>
    </xf>
    <xf numFmtId="2" fontId="15" fillId="0" borderId="14" xfId="0" applyNumberFormat="1" applyFont="1" applyBorder="1" applyAlignment="1" applyProtection="1">
      <alignment horizontal="center" vertical="center" shrinkToFit="1"/>
      <protection hidden="1"/>
    </xf>
    <xf numFmtId="2" fontId="15" fillId="0" borderId="15" xfId="0" applyNumberFormat="1" applyFont="1" applyBorder="1" applyAlignment="1" applyProtection="1">
      <alignment horizontal="center" vertical="center" shrinkToFit="1"/>
      <protection hidden="1"/>
    </xf>
    <xf numFmtId="2" fontId="15" fillId="0" borderId="16" xfId="0" applyNumberFormat="1" applyFont="1" applyBorder="1" applyAlignment="1" applyProtection="1">
      <alignment horizontal="center" vertical="center" shrinkToFit="1"/>
      <protection hidden="1"/>
    </xf>
    <xf numFmtId="2" fontId="15" fillId="0" borderId="19" xfId="0" applyNumberFormat="1" applyFont="1" applyBorder="1" applyAlignment="1" applyProtection="1">
      <alignment horizontal="center" vertical="center" shrinkToFit="1"/>
      <protection hidden="1"/>
    </xf>
    <xf numFmtId="2" fontId="15" fillId="0" borderId="20" xfId="0" applyNumberFormat="1" applyFont="1" applyBorder="1" applyAlignment="1" applyProtection="1">
      <alignment horizontal="center" vertical="center" shrinkToFit="1"/>
      <protection hidden="1"/>
    </xf>
    <xf numFmtId="2" fontId="15" fillId="0" borderId="21" xfId="0" applyNumberFormat="1" applyFont="1" applyBorder="1" applyAlignment="1" applyProtection="1">
      <alignment horizontal="center" vertical="center" shrinkToFit="1"/>
      <protection hidden="1"/>
    </xf>
    <xf numFmtId="0" fontId="11" fillId="0" borderId="14"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21"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0" xfId="0" applyFont="1" applyBorder="1" applyAlignment="1" applyProtection="1">
      <alignment horizontal="left" wrapText="1"/>
      <protection hidden="1" locked="0"/>
    </xf>
    <xf numFmtId="0" fontId="11" fillId="0" borderId="20" xfId="0" applyFont="1" applyBorder="1" applyAlignment="1" applyProtection="1">
      <alignment horizontal="left" wrapText="1"/>
      <protection hidden="1" locked="0"/>
    </xf>
    <xf numFmtId="1" fontId="15" fillId="0" borderId="14" xfId="0" applyNumberFormat="1" applyFont="1" applyBorder="1" applyAlignment="1" applyProtection="1">
      <alignment horizontal="center" vertical="center"/>
      <protection hidden="1"/>
    </xf>
    <xf numFmtId="1" fontId="15" fillId="0" borderId="15" xfId="0" applyNumberFormat="1" applyFont="1" applyBorder="1" applyAlignment="1" applyProtection="1">
      <alignment horizontal="center" vertical="center"/>
      <protection hidden="1"/>
    </xf>
    <xf numFmtId="1" fontId="15" fillId="0" borderId="16" xfId="0" applyNumberFormat="1" applyFont="1" applyBorder="1" applyAlignment="1" applyProtection="1">
      <alignment horizontal="center" vertical="center"/>
      <protection hidden="1"/>
    </xf>
    <xf numFmtId="1" fontId="15" fillId="0" borderId="19" xfId="0" applyNumberFormat="1" applyFont="1" applyBorder="1" applyAlignment="1" applyProtection="1">
      <alignment horizontal="center" vertical="center"/>
      <protection hidden="1"/>
    </xf>
    <xf numFmtId="1" fontId="15" fillId="0" borderId="20" xfId="0" applyNumberFormat="1" applyFont="1" applyBorder="1" applyAlignment="1" applyProtection="1">
      <alignment horizontal="center" vertical="center"/>
      <protection hidden="1"/>
    </xf>
    <xf numFmtId="1" fontId="15" fillId="0" borderId="21" xfId="0" applyNumberFormat="1" applyFont="1" applyBorder="1" applyAlignment="1" applyProtection="1">
      <alignment horizontal="center" vertical="center"/>
      <protection hidden="1"/>
    </xf>
    <xf numFmtId="0" fontId="16" fillId="0" borderId="14" xfId="0" applyFont="1" applyBorder="1" applyAlignment="1" applyProtection="1">
      <alignment horizontal="left" vertical="center" wrapText="1"/>
      <protection hidden="1"/>
    </xf>
    <xf numFmtId="0" fontId="16" fillId="0" borderId="16" xfId="0" applyFont="1" applyBorder="1" applyAlignment="1" applyProtection="1">
      <alignment horizontal="left" vertical="center" wrapText="1"/>
      <protection hidden="1"/>
    </xf>
    <xf numFmtId="0" fontId="16" fillId="0" borderId="19" xfId="0" applyFont="1" applyBorder="1" applyAlignment="1" applyProtection="1">
      <alignment horizontal="left" vertical="center" wrapText="1"/>
      <protection hidden="1"/>
    </xf>
    <xf numFmtId="0" fontId="16" fillId="0" borderId="21" xfId="0" applyFont="1" applyBorder="1" applyAlignment="1" applyProtection="1">
      <alignment horizontal="left" vertical="center" wrapText="1"/>
      <protection hidden="1"/>
    </xf>
    <xf numFmtId="0" fontId="11" fillId="0" borderId="14"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2" fontId="17" fillId="0" borderId="14" xfId="0" applyNumberFormat="1" applyFont="1" applyBorder="1" applyAlignment="1" applyProtection="1">
      <alignment horizontal="left" vertical="center" wrapText="1"/>
      <protection hidden="1"/>
    </xf>
    <xf numFmtId="2" fontId="17" fillId="0" borderId="15" xfId="0" applyNumberFormat="1" applyFont="1" applyBorder="1" applyAlignment="1" applyProtection="1">
      <alignment horizontal="left" vertical="center" wrapText="1"/>
      <protection hidden="1"/>
    </xf>
    <xf numFmtId="2" fontId="17" fillId="0" borderId="16" xfId="0" applyNumberFormat="1" applyFont="1" applyBorder="1" applyAlignment="1" applyProtection="1">
      <alignment horizontal="left" vertical="center" wrapText="1"/>
      <protection hidden="1"/>
    </xf>
    <xf numFmtId="2" fontId="17" fillId="0" borderId="19" xfId="0" applyNumberFormat="1" applyFont="1" applyBorder="1" applyAlignment="1" applyProtection="1">
      <alignment horizontal="left" vertical="center" wrapText="1"/>
      <protection hidden="1"/>
    </xf>
    <xf numFmtId="2" fontId="17" fillId="0" borderId="20" xfId="0" applyNumberFormat="1" applyFont="1" applyBorder="1" applyAlignment="1" applyProtection="1">
      <alignment horizontal="left" vertical="center" wrapText="1"/>
      <protection hidden="1"/>
    </xf>
    <xf numFmtId="2" fontId="17" fillId="0" borderId="21" xfId="0" applyNumberFormat="1" applyFont="1" applyBorder="1" applyAlignment="1" applyProtection="1">
      <alignment horizontal="left" vertical="center" wrapText="1"/>
      <protection hidden="1"/>
    </xf>
    <xf numFmtId="2" fontId="22" fillId="0" borderId="20" xfId="0" applyNumberFormat="1" applyFont="1" applyBorder="1" applyAlignment="1" applyProtection="1">
      <alignment horizontal="right" vertical="center"/>
      <protection hidden="1"/>
    </xf>
    <xf numFmtId="0" fontId="11" fillId="0" borderId="0" xfId="0" applyFont="1" applyBorder="1" applyAlignment="1" applyProtection="1">
      <alignment/>
      <protection hidden="1" locked="0"/>
    </xf>
    <xf numFmtId="0" fontId="20" fillId="0" borderId="20" xfId="0" applyFont="1" applyBorder="1" applyAlignment="1" applyProtection="1">
      <alignment horizontal="left" vertical="center" wrapText="1"/>
      <protection hidden="1" locked="0"/>
    </xf>
    <xf numFmtId="0" fontId="11" fillId="0" borderId="15"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21" fillId="0" borderId="13" xfId="0" applyFont="1" applyBorder="1" applyAlignment="1" applyProtection="1">
      <alignment/>
      <protection hidden="1" locked="0"/>
    </xf>
    <xf numFmtId="0" fontId="11" fillId="0" borderId="20" xfId="0" applyFont="1" applyBorder="1" applyAlignment="1" applyProtection="1">
      <alignment/>
      <protection hidden="1" locked="0"/>
    </xf>
    <xf numFmtId="0" fontId="27" fillId="0" borderId="0" xfId="0" applyFont="1" applyBorder="1" applyAlignment="1" applyProtection="1">
      <alignment horizontal="left" vertical="center" wrapText="1"/>
      <protection locked="0"/>
    </xf>
    <xf numFmtId="0" fontId="11" fillId="0" borderId="12" xfId="0" applyFont="1" applyBorder="1" applyAlignment="1" applyProtection="1">
      <alignment horizontal="center" vertical="center"/>
      <protection hidden="1"/>
    </xf>
    <xf numFmtId="0" fontId="11" fillId="0" borderId="13" xfId="0" applyFont="1" applyBorder="1" applyAlignment="1" applyProtection="1">
      <alignment horizontal="center" vertical="center"/>
      <protection hidden="1"/>
    </xf>
    <xf numFmtId="0" fontId="17" fillId="0" borderId="17" xfId="0" applyFont="1" applyBorder="1" applyAlignment="1" applyProtection="1">
      <alignment horizontal="right" vertical="center"/>
      <protection hidden="1"/>
    </xf>
    <xf numFmtId="0" fontId="17" fillId="0" borderId="0" xfId="0" applyFont="1" applyBorder="1" applyAlignment="1" applyProtection="1">
      <alignment horizontal="right" vertical="center"/>
      <protection hidden="1"/>
    </xf>
    <xf numFmtId="0" fontId="11" fillId="0" borderId="0" xfId="0" applyFont="1" applyBorder="1" applyAlignment="1" applyProtection="1">
      <alignment horizontal="center"/>
      <protection/>
    </xf>
    <xf numFmtId="0" fontId="11" fillId="0" borderId="18" xfId="0" applyFont="1" applyBorder="1" applyAlignment="1" applyProtection="1">
      <alignment horizontal="center"/>
      <protection/>
    </xf>
    <xf numFmtId="0" fontId="11" fillId="0" borderId="0" xfId="0" applyFont="1" applyBorder="1" applyAlignment="1" applyProtection="1">
      <alignment horizontal="right"/>
      <protection/>
    </xf>
    <xf numFmtId="0" fontId="11" fillId="0" borderId="18" xfId="0" applyFont="1" applyBorder="1" applyAlignment="1" applyProtection="1">
      <alignment horizontal="right"/>
      <protection/>
    </xf>
    <xf numFmtId="0" fontId="13" fillId="0" borderId="14" xfId="0" applyFont="1" applyBorder="1" applyAlignment="1" applyProtection="1">
      <alignment horizontal="center"/>
      <protection locked="0"/>
    </xf>
    <xf numFmtId="0" fontId="11" fillId="0" borderId="15" xfId="0" applyFont="1" applyBorder="1" applyAlignment="1" applyProtection="1">
      <alignment horizontal="center"/>
      <protection locked="0"/>
    </xf>
    <xf numFmtId="2" fontId="22" fillId="0" borderId="17" xfId="0" applyNumberFormat="1" applyFont="1" applyBorder="1" applyAlignment="1" applyProtection="1">
      <alignment horizontal="center" textRotation="90" shrinkToFit="1"/>
      <protection locked="0"/>
    </xf>
    <xf numFmtId="0" fontId="22" fillId="0" borderId="17" xfId="0" applyFont="1" applyBorder="1" applyAlignment="1" applyProtection="1">
      <alignment horizontal="center" textRotation="90" shrinkToFit="1"/>
      <protection locked="0"/>
    </xf>
    <xf numFmtId="0" fontId="15" fillId="0" borderId="0" xfId="0" applyFont="1" applyBorder="1" applyAlignment="1" applyProtection="1">
      <alignment horizontal="left"/>
      <protection locked="0"/>
    </xf>
    <xf numFmtId="0" fontId="22" fillId="0" borderId="20" xfId="0" applyFont="1" applyBorder="1" applyAlignment="1" applyProtection="1">
      <alignment horizontal="right"/>
      <protection locked="0"/>
    </xf>
    <xf numFmtId="0" fontId="26" fillId="0" borderId="0" xfId="0" applyFont="1" applyBorder="1" applyAlignment="1" applyProtection="1">
      <alignment horizontal="center" vertical="center"/>
      <protection locked="0"/>
    </xf>
    <xf numFmtId="40" fontId="16" fillId="0" borderId="0" xfId="0" applyNumberFormat="1" applyFont="1" applyBorder="1" applyAlignment="1" applyProtection="1">
      <alignment horizontal="center" vertical="center"/>
      <protection locked="0"/>
    </xf>
    <xf numFmtId="40" fontId="11" fillId="0" borderId="0" xfId="0" applyNumberFormat="1" applyFont="1" applyBorder="1" applyAlignment="1" applyProtection="1">
      <alignment horizontal="center" vertical="top" wrapText="1"/>
      <protection locked="0"/>
    </xf>
    <xf numFmtId="40" fontId="11" fillId="0" borderId="18" xfId="0" applyNumberFormat="1" applyFont="1" applyBorder="1" applyAlignment="1" applyProtection="1">
      <alignment horizontal="center" vertical="top" wrapText="1"/>
      <protection locked="0"/>
    </xf>
    <xf numFmtId="0" fontId="15" fillId="0" borderId="0" xfId="0" applyFont="1" applyBorder="1" applyAlignment="1" applyProtection="1">
      <alignment horizontal="right" vertical="center"/>
      <protection locked="0"/>
    </xf>
    <xf numFmtId="2" fontId="23" fillId="0" borderId="20" xfId="0" applyNumberFormat="1" applyFont="1" applyBorder="1" applyAlignment="1" applyProtection="1">
      <alignment horizontal="right" vertical="center"/>
      <protection hidden="1"/>
    </xf>
    <xf numFmtId="0" fontId="22" fillId="0" borderId="0" xfId="0" applyFont="1" applyBorder="1" applyAlignment="1" applyProtection="1">
      <alignment horizontal="left" vertical="top" wrapText="1"/>
      <protection hidden="1"/>
    </xf>
    <xf numFmtId="0" fontId="22" fillId="0" borderId="18" xfId="0" applyFont="1" applyBorder="1" applyAlignment="1" applyProtection="1">
      <alignment horizontal="left" vertical="top" wrapText="1"/>
      <protection hidden="1"/>
    </xf>
    <xf numFmtId="0" fontId="22" fillId="0" borderId="20" xfId="0" applyFont="1" applyBorder="1" applyAlignment="1" applyProtection="1">
      <alignment horizontal="left" vertical="top" wrapText="1"/>
      <protection hidden="1"/>
    </xf>
    <xf numFmtId="0" fontId="22" fillId="0" borderId="21" xfId="0" applyFont="1" applyBorder="1" applyAlignment="1" applyProtection="1">
      <alignment horizontal="left" vertical="top" wrapText="1"/>
      <protection hidden="1"/>
    </xf>
    <xf numFmtId="0" fontId="16" fillId="0" borderId="0" xfId="0" applyFont="1" applyBorder="1" applyAlignment="1" applyProtection="1">
      <alignment horizontal="center"/>
      <protection/>
    </xf>
    <xf numFmtId="0" fontId="16" fillId="0" borderId="18" xfId="0" applyFont="1" applyBorder="1" applyAlignment="1" applyProtection="1">
      <alignment horizontal="center"/>
      <protection/>
    </xf>
    <xf numFmtId="0" fontId="16" fillId="0" borderId="0" xfId="0" applyFont="1" applyBorder="1" applyAlignment="1" applyProtection="1">
      <alignment horizontal="center"/>
      <protection hidden="1"/>
    </xf>
    <xf numFmtId="0" fontId="16" fillId="0" borderId="18" xfId="0" applyFont="1" applyBorder="1" applyAlignment="1" applyProtection="1">
      <alignment horizontal="center"/>
      <protection hidden="1"/>
    </xf>
    <xf numFmtId="0" fontId="11" fillId="0" borderId="0" xfId="0" applyFont="1" applyBorder="1" applyAlignment="1" applyProtection="1">
      <alignment horizontal="center" vertical="center" textRotation="90" wrapText="1"/>
      <protection locked="0"/>
    </xf>
    <xf numFmtId="0" fontId="11" fillId="0" borderId="0"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horizontal="center" vertical="center" textRotation="90" wrapText="1"/>
      <protection locked="0"/>
    </xf>
    <xf numFmtId="40" fontId="22" fillId="0" borderId="17" xfId="0" applyNumberFormat="1" applyFont="1" applyBorder="1" applyAlignment="1" applyProtection="1">
      <alignment horizontal="center" vertical="top" textRotation="90"/>
      <protection locked="0"/>
    </xf>
    <xf numFmtId="0" fontId="5" fillId="0" borderId="17" xfId="0" applyFont="1" applyBorder="1" applyAlignment="1" applyProtection="1">
      <alignment horizontal="center" vertical="top"/>
      <protection locked="0"/>
    </xf>
    <xf numFmtId="0" fontId="22" fillId="0" borderId="0" xfId="0" applyFont="1" applyBorder="1" applyAlignment="1" applyProtection="1">
      <alignment vertical="center"/>
      <protection locked="0"/>
    </xf>
    <xf numFmtId="0" fontId="11" fillId="0" borderId="0"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32" fillId="0" borderId="0" xfId="57" applyFont="1" applyAlignment="1">
      <alignment horizontal="center" wrapText="1"/>
      <protection/>
    </xf>
    <xf numFmtId="0" fontId="28" fillId="0" borderId="0" xfId="57" applyFont="1" applyAlignment="1">
      <alignment horizontal="center"/>
      <protection/>
    </xf>
    <xf numFmtId="0" fontId="27" fillId="0" borderId="0" xfId="57" applyFont="1" applyAlignment="1">
      <alignment horizontal="center"/>
      <protection/>
    </xf>
    <xf numFmtId="0" fontId="29" fillId="0" borderId="0" xfId="57" applyFont="1" applyAlignment="1">
      <alignment horizontal="center" vertical="center"/>
      <protection/>
    </xf>
    <xf numFmtId="167" fontId="27" fillId="0" borderId="0" xfId="57" applyNumberFormat="1" applyFont="1" applyAlignment="1">
      <alignment horizontal="center"/>
      <protection/>
    </xf>
    <xf numFmtId="2" fontId="0" fillId="0" borderId="0" xfId="0" applyNumberFormat="1" applyAlignment="1">
      <alignment horizontal="center"/>
    </xf>
    <xf numFmtId="0" fontId="0" fillId="0" borderId="0" xfId="0" applyAlignment="1">
      <alignment horizontal="center"/>
    </xf>
    <xf numFmtId="0" fontId="0" fillId="0" borderId="17" xfId="0" applyBorder="1" applyAlignment="1">
      <alignment horizontal="center" wrapText="1"/>
    </xf>
    <xf numFmtId="0" fontId="0" fillId="0" borderId="0" xfId="0" applyAlignment="1">
      <alignment horizontal="center" wrapText="1"/>
    </xf>
    <xf numFmtId="0" fontId="139" fillId="0" borderId="15" xfId="0" applyFont="1" applyBorder="1" applyAlignment="1">
      <alignment horizontal="center" vertical="top"/>
    </xf>
    <xf numFmtId="0" fontId="142" fillId="0" borderId="14" xfId="0" applyFont="1" applyBorder="1" applyAlignment="1">
      <alignment horizontal="center" vertical="center"/>
    </xf>
    <xf numFmtId="0" fontId="142" fillId="0" borderId="16" xfId="0" applyFont="1" applyBorder="1" applyAlignment="1">
      <alignment horizontal="center" vertical="center"/>
    </xf>
    <xf numFmtId="0" fontId="142" fillId="0" borderId="19" xfId="0" applyFont="1" applyBorder="1" applyAlignment="1">
      <alignment horizontal="center" vertical="center"/>
    </xf>
    <xf numFmtId="0" fontId="142" fillId="0" borderId="21" xfId="0" applyFont="1" applyBorder="1" applyAlignment="1">
      <alignment horizontal="center" vertical="center"/>
    </xf>
    <xf numFmtId="0" fontId="137" fillId="0" borderId="0" xfId="0" applyFont="1" applyAlignment="1">
      <alignment horizontal="center" vertical="center"/>
    </xf>
    <xf numFmtId="0" fontId="141" fillId="0" borderId="0" xfId="0" applyFont="1" applyAlignment="1">
      <alignment horizontal="center" vertical="center"/>
    </xf>
    <xf numFmtId="0" fontId="142" fillId="0" borderId="0" xfId="0" applyFont="1" applyAlignment="1">
      <alignment horizontal="center"/>
    </xf>
    <xf numFmtId="0" fontId="0" fillId="0" borderId="17" xfId="0" applyBorder="1" applyAlignment="1">
      <alignment horizontal="left" wrapText="1"/>
    </xf>
    <xf numFmtId="0" fontId="0" fillId="0" borderId="0" xfId="0" applyBorder="1" applyAlignment="1">
      <alignment horizontal="left"/>
    </xf>
    <xf numFmtId="0" fontId="0" fillId="0" borderId="18" xfId="0" applyBorder="1" applyAlignment="1">
      <alignment horizontal="left"/>
    </xf>
    <xf numFmtId="0" fontId="0" fillId="0" borderId="17" xfId="0" applyBorder="1" applyAlignment="1">
      <alignment horizontal="left"/>
    </xf>
    <xf numFmtId="0" fontId="0" fillId="0" borderId="0" xfId="0" applyAlignment="1">
      <alignment horizontal="left" wrapText="1"/>
    </xf>
    <xf numFmtId="49"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15" xfId="0" applyBorder="1" applyAlignment="1">
      <alignment horizontal="center"/>
    </xf>
    <xf numFmtId="0" fontId="0" fillId="0" borderId="0" xfId="0" applyAlignment="1">
      <alignment horizontal="left"/>
    </xf>
    <xf numFmtId="0" fontId="137" fillId="0" borderId="14" xfId="0" applyFont="1" applyBorder="1" applyAlignment="1">
      <alignment horizontal="center" vertical="center"/>
    </xf>
    <xf numFmtId="0" fontId="137" fillId="0" borderId="15" xfId="0" applyFont="1" applyBorder="1" applyAlignment="1">
      <alignment horizontal="center" vertical="center"/>
    </xf>
    <xf numFmtId="0" fontId="137" fillId="0" borderId="16"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42" fillId="0" borderId="31" xfId="0" applyFont="1" applyBorder="1" applyAlignment="1">
      <alignment horizontal="center" vertical="center"/>
    </xf>
    <xf numFmtId="0" fontId="142" fillId="0" borderId="54" xfId="0" applyFont="1" applyBorder="1" applyAlignment="1">
      <alignment horizontal="center" vertical="center"/>
    </xf>
    <xf numFmtId="0" fontId="137" fillId="0" borderId="10" xfId="0" applyFont="1" applyBorder="1" applyAlignment="1">
      <alignment horizontal="center" wrapText="1"/>
    </xf>
    <xf numFmtId="0" fontId="157" fillId="0" borderId="10" xfId="0" applyFont="1" applyBorder="1" applyAlignment="1">
      <alignment horizontal="left" wrapText="1"/>
    </xf>
    <xf numFmtId="0" fontId="175" fillId="0" borderId="10" xfId="0" applyFont="1" applyBorder="1" applyAlignment="1">
      <alignment horizontal="left" wrapText="1"/>
    </xf>
    <xf numFmtId="0" fontId="156" fillId="0" borderId="10" xfId="0" applyFont="1" applyBorder="1" applyAlignment="1">
      <alignment horizontal="center"/>
    </xf>
    <xf numFmtId="0" fontId="0" fillId="0" borderId="0" xfId="0" applyAlignment="1">
      <alignment horizontal="left" vertical="top" wrapText="1"/>
    </xf>
    <xf numFmtId="0" fontId="0" fillId="54" borderId="10" xfId="0" applyFill="1" applyBorder="1" applyAlignment="1" applyProtection="1">
      <alignment horizontal="center" vertical="center" textRotation="90" wrapText="1"/>
      <protection hidden="1" locked="0"/>
    </xf>
    <xf numFmtId="0" fontId="54" fillId="54" borderId="10" xfId="0" applyFont="1" applyFill="1" applyBorder="1" applyAlignment="1" applyProtection="1">
      <alignment horizontal="center" vertical="center" wrapText="1"/>
      <protection hidden="1" locked="0"/>
    </xf>
    <xf numFmtId="0" fontId="0" fillId="0" borderId="40" xfId="0"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0" fontId="0" fillId="0" borderId="43"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87" xfId="0" applyBorder="1" applyAlignment="1" applyProtection="1">
      <alignment horizontal="center" vertical="center"/>
      <protection hidden="1"/>
    </xf>
    <xf numFmtId="0" fontId="0" fillId="0" borderId="40" xfId="0" applyBorder="1" applyAlignment="1" applyProtection="1">
      <alignment horizontal="center" vertical="center" textRotation="90" wrapText="1"/>
      <protection hidden="1"/>
    </xf>
    <xf numFmtId="0" fontId="0" fillId="0" borderId="41" xfId="0" applyBorder="1" applyAlignment="1" applyProtection="1">
      <alignment horizontal="center" vertical="center" textRotation="90" wrapText="1"/>
      <protection hidden="1"/>
    </xf>
    <xf numFmtId="0" fontId="0" fillId="0" borderId="42" xfId="0" applyBorder="1" applyAlignment="1" applyProtection="1">
      <alignment horizontal="center" vertical="center" textRotation="90" wrapText="1"/>
      <protection hidden="1"/>
    </xf>
    <xf numFmtId="0" fontId="0" fillId="0" borderId="40" xfId="0" applyBorder="1" applyAlignment="1" applyProtection="1">
      <alignment horizontal="center" vertical="center" textRotation="90"/>
      <protection hidden="1"/>
    </xf>
    <xf numFmtId="0" fontId="0" fillId="0" borderId="41" xfId="0" applyBorder="1" applyAlignment="1" applyProtection="1">
      <alignment horizontal="center" vertical="center" textRotation="90"/>
      <protection hidden="1"/>
    </xf>
    <xf numFmtId="0" fontId="0" fillId="0" borderId="42" xfId="0" applyBorder="1" applyAlignment="1" applyProtection="1">
      <alignment horizontal="center" vertical="center" textRotation="90"/>
      <protection hidden="1"/>
    </xf>
    <xf numFmtId="0" fontId="9" fillId="0" borderId="0" xfId="0" applyFont="1" applyAlignment="1">
      <alignment horizontal="center"/>
    </xf>
    <xf numFmtId="0" fontId="139" fillId="0" borderId="0" xfId="0" applyFont="1" applyAlignment="1">
      <alignment horizontal="center"/>
    </xf>
    <xf numFmtId="0" fontId="2" fillId="0" borderId="0" xfId="0" applyFont="1" applyAlignment="1">
      <alignment horizontal="center"/>
    </xf>
    <xf numFmtId="0" fontId="27" fillId="0" borderId="12" xfId="0" applyFont="1"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27" fillId="54" borderId="10" xfId="0" applyFont="1" applyFill="1" applyBorder="1" applyAlignment="1" applyProtection="1">
      <alignment horizontal="center" vertical="center" wrapText="1"/>
      <protection hidden="1" locked="0"/>
    </xf>
    <xf numFmtId="0" fontId="0" fillId="54" borderId="31" xfId="0" applyFill="1" applyBorder="1" applyAlignment="1" applyProtection="1">
      <alignment horizontal="center" vertical="center" wrapText="1"/>
      <protection hidden="1" locked="0"/>
    </xf>
    <xf numFmtId="0" fontId="0" fillId="54" borderId="10" xfId="0" applyFill="1" applyBorder="1" applyAlignment="1" applyProtection="1">
      <alignment horizontal="center" vertical="center" wrapText="1"/>
      <protection hidden="1" locked="0"/>
    </xf>
    <xf numFmtId="0" fontId="0" fillId="54" borderId="31" xfId="0" applyFill="1" applyBorder="1" applyAlignment="1" applyProtection="1">
      <alignment horizontal="center" vertical="center" textRotation="90" wrapText="1"/>
      <protection hidden="1"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alary!A1" /><Relationship Id="rId3" Type="http://schemas.openxmlformats.org/officeDocument/2006/relationships/hyperlink" Target="#option!A1" /><Relationship Id="rId4" Type="http://schemas.openxmlformats.org/officeDocument/2006/relationships/hyperlink" Target="#appendix!A1" /><Relationship Id="rId5" Type="http://schemas.openxmlformats.org/officeDocument/2006/relationships/hyperlink" Target="#procgs!A1" /><Relationship Id="rId6" Type="http://schemas.openxmlformats.org/officeDocument/2006/relationships/hyperlink" Target="#Annexure!A1" /><Relationship Id="rId7" Type="http://schemas.openxmlformats.org/officeDocument/2006/relationships/hyperlink" Target="#FORM47!A1" /><Relationship Id="rId8" Type="http://schemas.openxmlformats.org/officeDocument/2006/relationships/hyperlink" Target="#Form101!A1" /><Relationship Id="rId9" Type="http://schemas.openxmlformats.org/officeDocument/2006/relationships/hyperlink" Target="#PaperToken!A1" /><Relationship Id="rId10" Type="http://schemas.openxmlformats.org/officeDocument/2006/relationships/hyperlink" Target="#FORM49!A1" /><Relationship Id="rId11" Type="http://schemas.openxmlformats.org/officeDocument/2006/relationships/hyperlink" Target="#Salary!A1" /><Relationship Id="rId12" Type="http://schemas.openxmlformats.org/officeDocument/2006/relationships/hyperlink" Target="#option!A1" /><Relationship Id="rId13" Type="http://schemas.openxmlformats.org/officeDocument/2006/relationships/hyperlink" Target="#option!A1" /><Relationship Id="rId14" Type="http://schemas.openxmlformats.org/officeDocument/2006/relationships/hyperlink" Target="#appendix!A1" /><Relationship Id="rId15" Type="http://schemas.openxmlformats.org/officeDocument/2006/relationships/hyperlink" Target="#procgs!A1" /><Relationship Id="rId16" Type="http://schemas.openxmlformats.org/officeDocument/2006/relationships/hyperlink" Target="#Annexure!A1" /><Relationship Id="rId17" Type="http://schemas.openxmlformats.org/officeDocument/2006/relationships/hyperlink" Target="#FORM47!A1" /><Relationship Id="rId18" Type="http://schemas.openxmlformats.org/officeDocument/2006/relationships/hyperlink" Target="#Form101!A1" /><Relationship Id="rId19" Type="http://schemas.openxmlformats.org/officeDocument/2006/relationships/hyperlink" Target="#PaperToken!A1" /></Relationships>
</file>

<file path=xl/drawings/_rels/drawing10.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11.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2.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option!A1" /><Relationship Id="rId4" Type="http://schemas.openxmlformats.org/officeDocument/2006/relationships/hyperlink" Target="#option!A1" /><Relationship Id="rId5" Type="http://schemas.openxmlformats.org/officeDocument/2006/relationships/hyperlink" Target="#appendix!A1" /><Relationship Id="rId6" Type="http://schemas.openxmlformats.org/officeDocument/2006/relationships/hyperlink" Target="#procgs!A1" /><Relationship Id="rId7" Type="http://schemas.openxmlformats.org/officeDocument/2006/relationships/hyperlink" Target="#Annexure!A1" /><Relationship Id="rId8" Type="http://schemas.openxmlformats.org/officeDocument/2006/relationships/hyperlink" Target="#FORM47!A1" /><Relationship Id="rId9" Type="http://schemas.openxmlformats.org/officeDocument/2006/relationships/hyperlink" Target="#Form101!A1" /><Relationship Id="rId10" Type="http://schemas.openxmlformats.org/officeDocument/2006/relationships/hyperlink" Target="#PaperToken!A1" /><Relationship Id="rId11" Type="http://schemas.openxmlformats.org/officeDocument/2006/relationships/hyperlink" Target="#PaperToken!A1" /><Relationship Id="rId12" Type="http://schemas.openxmlformats.org/officeDocument/2006/relationships/hyperlink" Target="#Data!A1" /><Relationship Id="rId13" Type="http://schemas.openxmlformats.org/officeDocument/2006/relationships/hyperlink" Target="#Data!A1" /></Relationships>
</file>

<file path=xl/drawings/_rels/drawing3.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9.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14</xdr:row>
      <xdr:rowOff>247650</xdr:rowOff>
    </xdr:from>
    <xdr:to>
      <xdr:col>8</xdr:col>
      <xdr:colOff>142875</xdr:colOff>
      <xdr:row>19</xdr:row>
      <xdr:rowOff>0</xdr:rowOff>
    </xdr:to>
    <xdr:sp>
      <xdr:nvSpPr>
        <xdr:cNvPr id="1" name="Rectangle 3"/>
        <xdr:cNvSpPr>
          <a:spLocks/>
        </xdr:cNvSpPr>
      </xdr:nvSpPr>
      <xdr:spPr>
        <a:xfrm>
          <a:off x="152400" y="4200525"/>
          <a:ext cx="3133725" cy="1390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14</xdr:row>
      <xdr:rowOff>19050</xdr:rowOff>
    </xdr:from>
    <xdr:to>
      <xdr:col>5</xdr:col>
      <xdr:colOff>123825</xdr:colOff>
      <xdr:row>14</xdr:row>
      <xdr:rowOff>219075</xdr:rowOff>
    </xdr:to>
    <xdr:sp>
      <xdr:nvSpPr>
        <xdr:cNvPr id="2" name="Down Arrow 1"/>
        <xdr:cNvSpPr>
          <a:spLocks/>
        </xdr:cNvSpPr>
      </xdr:nvSpPr>
      <xdr:spPr>
        <a:xfrm>
          <a:off x="1285875" y="3971925"/>
          <a:ext cx="152400" cy="200025"/>
        </a:xfrm>
        <a:prstGeom prst="downArrow">
          <a:avLst>
            <a:gd name="adj" fmla="val 11902"/>
          </a:avLst>
        </a:prstGeom>
        <a:solidFill>
          <a:srgbClr val="4BACC6"/>
        </a:solidFill>
        <a:ln w="25400" cmpd="sng">
          <a:solidFill>
            <a:srgbClr val="357D9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14</xdr:row>
      <xdr:rowOff>28575</xdr:rowOff>
    </xdr:from>
    <xdr:to>
      <xdr:col>6</xdr:col>
      <xdr:colOff>180975</xdr:colOff>
      <xdr:row>14</xdr:row>
      <xdr:rowOff>228600</xdr:rowOff>
    </xdr:to>
    <xdr:sp>
      <xdr:nvSpPr>
        <xdr:cNvPr id="3" name="Down Arrow 35"/>
        <xdr:cNvSpPr>
          <a:spLocks/>
        </xdr:cNvSpPr>
      </xdr:nvSpPr>
      <xdr:spPr>
        <a:xfrm>
          <a:off x="1952625" y="3981450"/>
          <a:ext cx="152400" cy="200025"/>
        </a:xfrm>
        <a:prstGeom prst="downArrow">
          <a:avLst>
            <a:gd name="adj" fmla="val 11902"/>
          </a:avLst>
        </a:prstGeom>
        <a:solidFill>
          <a:srgbClr val="4BACC6"/>
        </a:solidFill>
        <a:ln w="25400" cmpd="sng">
          <a:solidFill>
            <a:srgbClr val="357D9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590550</xdr:colOff>
      <xdr:row>14</xdr:row>
      <xdr:rowOff>19050</xdr:rowOff>
    </xdr:from>
    <xdr:to>
      <xdr:col>8</xdr:col>
      <xdr:colOff>133350</xdr:colOff>
      <xdr:row>14</xdr:row>
      <xdr:rowOff>219075</xdr:rowOff>
    </xdr:to>
    <xdr:sp>
      <xdr:nvSpPr>
        <xdr:cNvPr id="4" name="Down Arrow 36"/>
        <xdr:cNvSpPr>
          <a:spLocks/>
        </xdr:cNvSpPr>
      </xdr:nvSpPr>
      <xdr:spPr>
        <a:xfrm>
          <a:off x="3124200" y="3971925"/>
          <a:ext cx="152400" cy="200025"/>
        </a:xfrm>
        <a:prstGeom prst="downArrow">
          <a:avLst>
            <a:gd name="adj" fmla="val 11902"/>
          </a:avLst>
        </a:prstGeom>
        <a:solidFill>
          <a:srgbClr val="4BACC6"/>
        </a:solidFill>
        <a:ln w="25400" cmpd="sng">
          <a:solidFill>
            <a:srgbClr val="357D9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19</xdr:col>
      <xdr:colOff>142875</xdr:colOff>
      <xdr:row>17</xdr:row>
      <xdr:rowOff>152400</xdr:rowOff>
    </xdr:from>
    <xdr:to>
      <xdr:col>21</xdr:col>
      <xdr:colOff>523875</xdr:colOff>
      <xdr:row>23</xdr:row>
      <xdr:rowOff>200025</xdr:rowOff>
    </xdr:to>
    <xdr:pic>
      <xdr:nvPicPr>
        <xdr:cNvPr id="5" name="Picture 2"/>
        <xdr:cNvPicPr preferRelativeResize="1">
          <a:picLocks noChangeAspect="1"/>
        </xdr:cNvPicPr>
      </xdr:nvPicPr>
      <xdr:blipFill>
        <a:blip r:embed="rId1"/>
        <a:stretch>
          <a:fillRect/>
        </a:stretch>
      </xdr:blipFill>
      <xdr:spPr>
        <a:xfrm>
          <a:off x="9715500" y="5057775"/>
          <a:ext cx="1600200" cy="2105025"/>
        </a:xfrm>
        <a:prstGeom prst="rect">
          <a:avLst/>
        </a:prstGeom>
        <a:noFill/>
        <a:ln w="9525" cmpd="sng">
          <a:noFill/>
        </a:ln>
      </xdr:spPr>
    </xdr:pic>
    <xdr:clientData/>
  </xdr:twoCellAnchor>
  <xdr:twoCellAnchor>
    <xdr:from>
      <xdr:col>23</xdr:col>
      <xdr:colOff>142875</xdr:colOff>
      <xdr:row>5</xdr:row>
      <xdr:rowOff>180975</xdr:rowOff>
    </xdr:from>
    <xdr:to>
      <xdr:col>23</xdr:col>
      <xdr:colOff>1800225</xdr:colOff>
      <xdr:row>6</xdr:row>
      <xdr:rowOff>219075</xdr:rowOff>
    </xdr:to>
    <xdr:sp macro="[0]!Sheet2.HURows">
      <xdr:nvSpPr>
        <xdr:cNvPr id="6" name="Rounded Rectangle 4">
          <a:hlinkClick r:id="rId2"/>
        </xdr:cNvPr>
        <xdr:cNvSpPr>
          <a:spLocks/>
        </xdr:cNvSpPr>
      </xdr:nvSpPr>
      <xdr:spPr>
        <a:xfrm>
          <a:off x="12411075" y="1419225"/>
          <a:ext cx="1657350" cy="36195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23</xdr:col>
      <xdr:colOff>133350</xdr:colOff>
      <xdr:row>2</xdr:row>
      <xdr:rowOff>228600</xdr:rowOff>
    </xdr:from>
    <xdr:to>
      <xdr:col>23</xdr:col>
      <xdr:colOff>1809750</xdr:colOff>
      <xdr:row>5</xdr:row>
      <xdr:rowOff>95250</xdr:rowOff>
    </xdr:to>
    <xdr:sp macro="[0]!Sheet2.HURows1">
      <xdr:nvSpPr>
        <xdr:cNvPr id="7" name="Rounded Rectangle 40"/>
        <xdr:cNvSpPr>
          <a:spLocks/>
        </xdr:cNvSpPr>
      </xdr:nvSpPr>
      <xdr:spPr>
        <a:xfrm>
          <a:off x="12401550" y="676275"/>
          <a:ext cx="1676400" cy="657225"/>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First </a:t>
          </a:r>
          <a:r>
            <a:rPr lang="en-US" cap="none" sz="1200" b="1" i="0" u="none" baseline="0">
              <a:solidFill>
                <a:srgbClr val="FFFFFF"/>
              </a:solidFill>
              <a:latin typeface="Calibri"/>
              <a:ea typeface="Calibri"/>
              <a:cs typeface="Calibri"/>
            </a:rPr>
            <a:t>Click</a:t>
          </a:r>
          <a:r>
            <a:rPr lang="en-US" cap="none" sz="1200" b="1" i="0" u="none" baseline="0">
              <a:solidFill>
                <a:srgbClr val="FFFFFF"/>
              </a:solidFill>
              <a:latin typeface="Calibri"/>
              <a:ea typeface="Calibri"/>
              <a:cs typeface="Calibri"/>
            </a:rPr>
            <a:t> ME
</a:t>
          </a:r>
          <a:r>
            <a:rPr lang="en-US" cap="none" sz="1200" b="1" i="0" u="none" baseline="0">
              <a:solidFill>
                <a:srgbClr val="FFFFFF"/>
              </a:solidFill>
              <a:latin typeface="Calibri"/>
              <a:ea typeface="Calibri"/>
              <a:cs typeface="Calibri"/>
            </a:rPr>
            <a:t>  Before Proceed</a:t>
          </a:r>
        </a:p>
      </xdr:txBody>
    </xdr:sp>
    <xdr:clientData/>
  </xdr:twoCellAnchor>
  <xdr:twoCellAnchor>
    <xdr:from>
      <xdr:col>23</xdr:col>
      <xdr:colOff>142875</xdr:colOff>
      <xdr:row>6</xdr:row>
      <xdr:rowOff>295275</xdr:rowOff>
    </xdr:from>
    <xdr:to>
      <xdr:col>23</xdr:col>
      <xdr:colOff>1800225</xdr:colOff>
      <xdr:row>7</xdr:row>
      <xdr:rowOff>323850</xdr:rowOff>
    </xdr:to>
    <xdr:sp macro="[0]!Sheet2.HURows">
      <xdr:nvSpPr>
        <xdr:cNvPr id="8" name="Rounded Rectangle 42">
          <a:hlinkClick r:id="rId3"/>
        </xdr:cNvPr>
        <xdr:cNvSpPr>
          <a:spLocks/>
        </xdr:cNvSpPr>
      </xdr:nvSpPr>
      <xdr:spPr>
        <a:xfrm>
          <a:off x="12411075" y="18573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23</xdr:col>
      <xdr:colOff>142875</xdr:colOff>
      <xdr:row>8</xdr:row>
      <xdr:rowOff>85725</xdr:rowOff>
    </xdr:from>
    <xdr:to>
      <xdr:col>23</xdr:col>
      <xdr:colOff>1790700</xdr:colOff>
      <xdr:row>9</xdr:row>
      <xdr:rowOff>209550</xdr:rowOff>
    </xdr:to>
    <xdr:sp macro="[0]!Sheet2.HURows">
      <xdr:nvSpPr>
        <xdr:cNvPr id="9" name="Rounded Rectangle 43">
          <a:hlinkClick r:id="rId4"/>
        </xdr:cNvPr>
        <xdr:cNvSpPr>
          <a:spLocks/>
        </xdr:cNvSpPr>
      </xdr:nvSpPr>
      <xdr:spPr>
        <a:xfrm>
          <a:off x="12411075" y="22955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23</xdr:col>
      <xdr:colOff>133350</xdr:colOff>
      <xdr:row>9</xdr:row>
      <xdr:rowOff>304800</xdr:rowOff>
    </xdr:from>
    <xdr:to>
      <xdr:col>23</xdr:col>
      <xdr:colOff>1790700</xdr:colOff>
      <xdr:row>11</xdr:row>
      <xdr:rowOff>19050</xdr:rowOff>
    </xdr:to>
    <xdr:sp macro="[0]!Sheet2.HURows">
      <xdr:nvSpPr>
        <xdr:cNvPr id="10" name="Rounded Rectangle 44">
          <a:hlinkClick r:id="rId5"/>
        </xdr:cNvPr>
        <xdr:cNvSpPr>
          <a:spLocks/>
        </xdr:cNvSpPr>
      </xdr:nvSpPr>
      <xdr:spPr>
        <a:xfrm>
          <a:off x="12401550" y="2743200"/>
          <a:ext cx="1657350" cy="36195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23</xdr:col>
      <xdr:colOff>142875</xdr:colOff>
      <xdr:row>11</xdr:row>
      <xdr:rowOff>104775</xdr:rowOff>
    </xdr:from>
    <xdr:to>
      <xdr:col>23</xdr:col>
      <xdr:colOff>1800225</xdr:colOff>
      <xdr:row>12</xdr:row>
      <xdr:rowOff>133350</xdr:rowOff>
    </xdr:to>
    <xdr:sp macro="[0]!Sheet2.HURows">
      <xdr:nvSpPr>
        <xdr:cNvPr id="11" name="Rounded Rectangle 45">
          <a:hlinkClick r:id="rId6"/>
        </xdr:cNvPr>
        <xdr:cNvSpPr>
          <a:spLocks/>
        </xdr:cNvSpPr>
      </xdr:nvSpPr>
      <xdr:spPr>
        <a:xfrm>
          <a:off x="12411075" y="31908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23</xdr:col>
      <xdr:colOff>152400</xdr:colOff>
      <xdr:row>12</xdr:row>
      <xdr:rowOff>228600</xdr:rowOff>
    </xdr:from>
    <xdr:to>
      <xdr:col>23</xdr:col>
      <xdr:colOff>1809750</xdr:colOff>
      <xdr:row>14</xdr:row>
      <xdr:rowOff>47625</xdr:rowOff>
    </xdr:to>
    <xdr:sp macro="[0]!Sheet2.HURows">
      <xdr:nvSpPr>
        <xdr:cNvPr id="12" name="Rounded Rectangle 46">
          <a:hlinkClick r:id="rId7"/>
        </xdr:cNvPr>
        <xdr:cNvSpPr>
          <a:spLocks/>
        </xdr:cNvSpPr>
      </xdr:nvSpPr>
      <xdr:spPr>
        <a:xfrm>
          <a:off x="12420600" y="3638550"/>
          <a:ext cx="1657350" cy="36195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23</xdr:col>
      <xdr:colOff>142875</xdr:colOff>
      <xdr:row>14</xdr:row>
      <xdr:rowOff>152400</xdr:rowOff>
    </xdr:from>
    <xdr:to>
      <xdr:col>23</xdr:col>
      <xdr:colOff>1800225</xdr:colOff>
      <xdr:row>15</xdr:row>
      <xdr:rowOff>238125</xdr:rowOff>
    </xdr:to>
    <xdr:sp macro="[0]!Sheet2.HURows">
      <xdr:nvSpPr>
        <xdr:cNvPr id="13" name="Rounded Rectangle 47">
          <a:hlinkClick r:id="rId8"/>
        </xdr:cNvPr>
        <xdr:cNvSpPr>
          <a:spLocks/>
        </xdr:cNvSpPr>
      </xdr:nvSpPr>
      <xdr:spPr>
        <a:xfrm>
          <a:off x="12411075" y="41052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23</xdr:col>
      <xdr:colOff>123825</xdr:colOff>
      <xdr:row>15</xdr:row>
      <xdr:rowOff>333375</xdr:rowOff>
    </xdr:from>
    <xdr:to>
      <xdr:col>23</xdr:col>
      <xdr:colOff>1781175</xdr:colOff>
      <xdr:row>16</xdr:row>
      <xdr:rowOff>342900</xdr:rowOff>
    </xdr:to>
    <xdr:sp macro="[0]!Sheet2.HURows">
      <xdr:nvSpPr>
        <xdr:cNvPr id="14" name="Rounded Rectangle 48">
          <a:hlinkClick r:id="rId9"/>
        </xdr:cNvPr>
        <xdr:cNvSpPr>
          <a:spLocks/>
        </xdr:cNvSpPr>
      </xdr:nvSpPr>
      <xdr:spPr>
        <a:xfrm>
          <a:off x="12392025" y="45529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23</xdr:col>
      <xdr:colOff>133350</xdr:colOff>
      <xdr:row>17</xdr:row>
      <xdr:rowOff>95250</xdr:rowOff>
    </xdr:from>
    <xdr:to>
      <xdr:col>23</xdr:col>
      <xdr:colOff>1781175</xdr:colOff>
      <xdr:row>18</xdr:row>
      <xdr:rowOff>104775</xdr:rowOff>
    </xdr:to>
    <xdr:sp macro="[0]!Sheet2.HURows">
      <xdr:nvSpPr>
        <xdr:cNvPr id="15" name="Rounded Rectangle 49">
          <a:hlinkClick r:id="rId10"/>
        </xdr:cNvPr>
        <xdr:cNvSpPr>
          <a:spLocks/>
        </xdr:cNvSpPr>
      </xdr:nvSpPr>
      <xdr:spPr>
        <a:xfrm>
          <a:off x="12401550" y="50006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3</xdr:col>
      <xdr:colOff>47625</xdr:colOff>
      <xdr:row>1</xdr:row>
      <xdr:rowOff>85725</xdr:rowOff>
    </xdr:from>
    <xdr:to>
      <xdr:col>5</xdr:col>
      <xdr:colOff>447675</xdr:colOff>
      <xdr:row>1</xdr:row>
      <xdr:rowOff>400050</xdr:rowOff>
    </xdr:to>
    <xdr:sp macro="[0]!Sheet2.HURows">
      <xdr:nvSpPr>
        <xdr:cNvPr id="16" name="Rounded Rectangle 50">
          <a:hlinkClick r:id="rId11"/>
        </xdr:cNvPr>
        <xdr:cNvSpPr>
          <a:spLocks/>
        </xdr:cNvSpPr>
      </xdr:nvSpPr>
      <xdr:spPr>
        <a:xfrm>
          <a:off x="180975" y="85725"/>
          <a:ext cx="1581150" cy="3143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5</xdr:col>
      <xdr:colOff>542925</xdr:colOff>
      <xdr:row>1</xdr:row>
      <xdr:rowOff>66675</xdr:rowOff>
    </xdr:from>
    <xdr:to>
      <xdr:col>8</xdr:col>
      <xdr:colOff>57150</xdr:colOff>
      <xdr:row>1</xdr:row>
      <xdr:rowOff>419100</xdr:rowOff>
    </xdr:to>
    <xdr:sp macro="[0]!Sheet2.HURows">
      <xdr:nvSpPr>
        <xdr:cNvPr id="17" name="Rounded Rectangle 51">
          <a:hlinkClick r:id="rId12"/>
        </xdr:cNvPr>
        <xdr:cNvSpPr>
          <a:spLocks/>
        </xdr:cNvSpPr>
      </xdr:nvSpPr>
      <xdr:spPr>
        <a:xfrm>
          <a:off x="1857375" y="66675"/>
          <a:ext cx="13430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8</xdr:col>
      <xdr:colOff>142875</xdr:colOff>
      <xdr:row>1</xdr:row>
      <xdr:rowOff>66675</xdr:rowOff>
    </xdr:from>
    <xdr:to>
      <xdr:col>10</xdr:col>
      <xdr:colOff>123825</xdr:colOff>
      <xdr:row>1</xdr:row>
      <xdr:rowOff>409575</xdr:rowOff>
    </xdr:to>
    <xdr:sp macro="[0]!Sheet2.HURows">
      <xdr:nvSpPr>
        <xdr:cNvPr id="18" name="Rounded Rectangle 52">
          <a:hlinkClick r:id="rId13"/>
        </xdr:cNvPr>
        <xdr:cNvSpPr>
          <a:spLocks/>
        </xdr:cNvSpPr>
      </xdr:nvSpPr>
      <xdr:spPr>
        <a:xfrm>
          <a:off x="3286125" y="66675"/>
          <a:ext cx="137160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10</xdr:col>
      <xdr:colOff>200025</xdr:colOff>
      <xdr:row>1</xdr:row>
      <xdr:rowOff>66675</xdr:rowOff>
    </xdr:from>
    <xdr:to>
      <xdr:col>12</xdr:col>
      <xdr:colOff>180975</xdr:colOff>
      <xdr:row>1</xdr:row>
      <xdr:rowOff>409575</xdr:rowOff>
    </xdr:to>
    <xdr:sp macro="[0]!Sheet2.HURows">
      <xdr:nvSpPr>
        <xdr:cNvPr id="19" name="Rounded Rectangle 53">
          <a:hlinkClick r:id="rId14"/>
        </xdr:cNvPr>
        <xdr:cNvSpPr>
          <a:spLocks/>
        </xdr:cNvSpPr>
      </xdr:nvSpPr>
      <xdr:spPr>
        <a:xfrm>
          <a:off x="4733925" y="66675"/>
          <a:ext cx="12001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12</xdr:col>
      <xdr:colOff>266700</xdr:colOff>
      <xdr:row>1</xdr:row>
      <xdr:rowOff>57150</xdr:rowOff>
    </xdr:from>
    <xdr:to>
      <xdr:col>14</xdr:col>
      <xdr:colOff>466725</xdr:colOff>
      <xdr:row>1</xdr:row>
      <xdr:rowOff>409575</xdr:rowOff>
    </xdr:to>
    <xdr:sp macro="[0]!Sheet2.HURows">
      <xdr:nvSpPr>
        <xdr:cNvPr id="20" name="Rounded Rectangle 54">
          <a:hlinkClick r:id="rId15"/>
        </xdr:cNvPr>
        <xdr:cNvSpPr>
          <a:spLocks/>
        </xdr:cNvSpPr>
      </xdr:nvSpPr>
      <xdr:spPr>
        <a:xfrm>
          <a:off x="6019800" y="57150"/>
          <a:ext cx="14192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14</xdr:col>
      <xdr:colOff>552450</xdr:colOff>
      <xdr:row>1</xdr:row>
      <xdr:rowOff>57150</xdr:rowOff>
    </xdr:from>
    <xdr:to>
      <xdr:col>17</xdr:col>
      <xdr:colOff>38100</xdr:colOff>
      <xdr:row>1</xdr:row>
      <xdr:rowOff>409575</xdr:rowOff>
    </xdr:to>
    <xdr:sp macro="[0]!Sheet2.HURows">
      <xdr:nvSpPr>
        <xdr:cNvPr id="21" name="Rounded Rectangle 55">
          <a:hlinkClick r:id="rId16"/>
        </xdr:cNvPr>
        <xdr:cNvSpPr>
          <a:spLocks/>
        </xdr:cNvSpPr>
      </xdr:nvSpPr>
      <xdr:spPr>
        <a:xfrm>
          <a:off x="7524750" y="57150"/>
          <a:ext cx="13144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17</xdr:col>
      <xdr:colOff>152400</xdr:colOff>
      <xdr:row>1</xdr:row>
      <xdr:rowOff>57150</xdr:rowOff>
    </xdr:from>
    <xdr:to>
      <xdr:col>19</xdr:col>
      <xdr:colOff>552450</xdr:colOff>
      <xdr:row>1</xdr:row>
      <xdr:rowOff>409575</xdr:rowOff>
    </xdr:to>
    <xdr:sp macro="[0]!Sheet2.HURows">
      <xdr:nvSpPr>
        <xdr:cNvPr id="22" name="Rounded Rectangle 56">
          <a:hlinkClick r:id="rId17"/>
        </xdr:cNvPr>
        <xdr:cNvSpPr>
          <a:spLocks/>
        </xdr:cNvSpPr>
      </xdr:nvSpPr>
      <xdr:spPr>
        <a:xfrm>
          <a:off x="8953500" y="57150"/>
          <a:ext cx="117157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20</xdr:col>
      <xdr:colOff>47625</xdr:colOff>
      <xdr:row>1</xdr:row>
      <xdr:rowOff>38100</xdr:rowOff>
    </xdr:from>
    <xdr:to>
      <xdr:col>21</xdr:col>
      <xdr:colOff>609600</xdr:colOff>
      <xdr:row>1</xdr:row>
      <xdr:rowOff>390525</xdr:rowOff>
    </xdr:to>
    <xdr:sp macro="[0]!Sheet2.HURows">
      <xdr:nvSpPr>
        <xdr:cNvPr id="23" name="Rounded Rectangle 57">
          <a:hlinkClick r:id="rId18"/>
        </xdr:cNvPr>
        <xdr:cNvSpPr>
          <a:spLocks/>
        </xdr:cNvSpPr>
      </xdr:nvSpPr>
      <xdr:spPr>
        <a:xfrm>
          <a:off x="10229850" y="38100"/>
          <a:ext cx="117157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22</xdr:col>
      <xdr:colOff>66675</xdr:colOff>
      <xdr:row>1</xdr:row>
      <xdr:rowOff>47625</xdr:rowOff>
    </xdr:from>
    <xdr:to>
      <xdr:col>23</xdr:col>
      <xdr:colOff>657225</xdr:colOff>
      <xdr:row>1</xdr:row>
      <xdr:rowOff>400050</xdr:rowOff>
    </xdr:to>
    <xdr:sp macro="[0]!Sheet2.HURows">
      <xdr:nvSpPr>
        <xdr:cNvPr id="24" name="Rounded Rectangle 59">
          <a:hlinkClick r:id="rId19"/>
        </xdr:cNvPr>
        <xdr:cNvSpPr>
          <a:spLocks/>
        </xdr:cNvSpPr>
      </xdr:nvSpPr>
      <xdr:spPr>
        <a:xfrm>
          <a:off x="11487150" y="47625"/>
          <a:ext cx="143827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1</xdr:row>
      <xdr:rowOff>400050</xdr:rowOff>
    </xdr:from>
    <xdr:to>
      <xdr:col>13</xdr:col>
      <xdr:colOff>447675</xdr:colOff>
      <xdr:row>2</xdr:row>
      <xdr:rowOff>295275</xdr:rowOff>
    </xdr:to>
    <xdr:sp macro="[0]!Sheet2.HURows">
      <xdr:nvSpPr>
        <xdr:cNvPr id="1" name="Rounded Rectangle 1">
          <a:hlinkClick r:id="rId1"/>
        </xdr:cNvPr>
        <xdr:cNvSpPr>
          <a:spLocks/>
        </xdr:cNvSpPr>
      </xdr:nvSpPr>
      <xdr:spPr>
        <a:xfrm>
          <a:off x="6858000" y="800100"/>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11</xdr:col>
      <xdr:colOff>9525</xdr:colOff>
      <xdr:row>2</xdr:row>
      <xdr:rowOff>371475</xdr:rowOff>
    </xdr:from>
    <xdr:to>
      <xdr:col>13</xdr:col>
      <xdr:colOff>447675</xdr:colOff>
      <xdr:row>3</xdr:row>
      <xdr:rowOff>266700</xdr:rowOff>
    </xdr:to>
    <xdr:sp macro="[0]!Sheet2.HURows">
      <xdr:nvSpPr>
        <xdr:cNvPr id="2" name="Rounded Rectangle 2">
          <a:hlinkClick r:id="rId2"/>
        </xdr:cNvPr>
        <xdr:cNvSpPr>
          <a:spLocks/>
        </xdr:cNvSpPr>
      </xdr:nvSpPr>
      <xdr:spPr>
        <a:xfrm>
          <a:off x="6848475" y="12287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11</xdr:col>
      <xdr:colOff>9525</xdr:colOff>
      <xdr:row>3</xdr:row>
      <xdr:rowOff>352425</xdr:rowOff>
    </xdr:from>
    <xdr:to>
      <xdr:col>13</xdr:col>
      <xdr:colOff>447675</xdr:colOff>
      <xdr:row>4</xdr:row>
      <xdr:rowOff>247650</xdr:rowOff>
    </xdr:to>
    <xdr:sp macro="[0]!Sheet2.HURows">
      <xdr:nvSpPr>
        <xdr:cNvPr id="3" name="Rounded Rectangle 3">
          <a:hlinkClick r:id="rId3"/>
        </xdr:cNvPr>
        <xdr:cNvSpPr>
          <a:spLocks/>
        </xdr:cNvSpPr>
      </xdr:nvSpPr>
      <xdr:spPr>
        <a:xfrm>
          <a:off x="6848475" y="16668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11</xdr:col>
      <xdr:colOff>9525</xdr:colOff>
      <xdr:row>4</xdr:row>
      <xdr:rowOff>342900</xdr:rowOff>
    </xdr:from>
    <xdr:to>
      <xdr:col>13</xdr:col>
      <xdr:colOff>447675</xdr:colOff>
      <xdr:row>4</xdr:row>
      <xdr:rowOff>695325</xdr:rowOff>
    </xdr:to>
    <xdr:sp macro="[0]!Sheet2.HURows">
      <xdr:nvSpPr>
        <xdr:cNvPr id="4" name="Rounded Rectangle 4">
          <a:hlinkClick r:id="rId4"/>
        </xdr:cNvPr>
        <xdr:cNvSpPr>
          <a:spLocks/>
        </xdr:cNvSpPr>
      </xdr:nvSpPr>
      <xdr:spPr>
        <a:xfrm>
          <a:off x="6848475" y="21145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11</xdr:col>
      <xdr:colOff>19050</xdr:colOff>
      <xdr:row>5</xdr:row>
      <xdr:rowOff>9525</xdr:rowOff>
    </xdr:from>
    <xdr:to>
      <xdr:col>13</xdr:col>
      <xdr:colOff>457200</xdr:colOff>
      <xdr:row>5</xdr:row>
      <xdr:rowOff>361950</xdr:rowOff>
    </xdr:to>
    <xdr:sp macro="[0]!Sheet2.HURows">
      <xdr:nvSpPr>
        <xdr:cNvPr id="5" name="Rounded Rectangle 5">
          <a:hlinkClick r:id="rId5"/>
        </xdr:cNvPr>
        <xdr:cNvSpPr>
          <a:spLocks/>
        </xdr:cNvSpPr>
      </xdr:nvSpPr>
      <xdr:spPr>
        <a:xfrm>
          <a:off x="6858000" y="25527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11</xdr:col>
      <xdr:colOff>28575</xdr:colOff>
      <xdr:row>5</xdr:row>
      <xdr:rowOff>476250</xdr:rowOff>
    </xdr:from>
    <xdr:to>
      <xdr:col>13</xdr:col>
      <xdr:colOff>466725</xdr:colOff>
      <xdr:row>5</xdr:row>
      <xdr:rowOff>819150</xdr:rowOff>
    </xdr:to>
    <xdr:sp macro="[0]!Sheet2.HURows">
      <xdr:nvSpPr>
        <xdr:cNvPr id="6" name="Rounded Rectangle 6">
          <a:hlinkClick r:id="rId6"/>
        </xdr:cNvPr>
        <xdr:cNvSpPr>
          <a:spLocks/>
        </xdr:cNvSpPr>
      </xdr:nvSpPr>
      <xdr:spPr>
        <a:xfrm>
          <a:off x="6867525" y="3019425"/>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11</xdr:col>
      <xdr:colOff>9525</xdr:colOff>
      <xdr:row>5</xdr:row>
      <xdr:rowOff>914400</xdr:rowOff>
    </xdr:from>
    <xdr:to>
      <xdr:col>13</xdr:col>
      <xdr:colOff>447675</xdr:colOff>
      <xdr:row>5</xdr:row>
      <xdr:rowOff>1257300</xdr:rowOff>
    </xdr:to>
    <xdr:sp macro="[0]!Sheet2.HURows">
      <xdr:nvSpPr>
        <xdr:cNvPr id="7" name="Rounded Rectangle 7">
          <a:hlinkClick r:id="rId7"/>
        </xdr:cNvPr>
        <xdr:cNvSpPr>
          <a:spLocks/>
        </xdr:cNvSpPr>
      </xdr:nvSpPr>
      <xdr:spPr>
        <a:xfrm>
          <a:off x="6848475" y="3457575"/>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11</xdr:col>
      <xdr:colOff>0</xdr:colOff>
      <xdr:row>5</xdr:row>
      <xdr:rowOff>1362075</xdr:rowOff>
    </xdr:from>
    <xdr:to>
      <xdr:col>13</xdr:col>
      <xdr:colOff>438150</xdr:colOff>
      <xdr:row>6</xdr:row>
      <xdr:rowOff>104775</xdr:rowOff>
    </xdr:to>
    <xdr:sp macro="[0]!Sheet2.HURows">
      <xdr:nvSpPr>
        <xdr:cNvPr id="8" name="Rounded Rectangle 8">
          <a:hlinkClick r:id="rId8"/>
        </xdr:cNvPr>
        <xdr:cNvSpPr>
          <a:spLocks/>
        </xdr:cNvSpPr>
      </xdr:nvSpPr>
      <xdr:spPr>
        <a:xfrm>
          <a:off x="6838950" y="39052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11</xdr:col>
      <xdr:colOff>0</xdr:colOff>
      <xdr:row>6</xdr:row>
      <xdr:rowOff>200025</xdr:rowOff>
    </xdr:from>
    <xdr:to>
      <xdr:col>13</xdr:col>
      <xdr:colOff>438150</xdr:colOff>
      <xdr:row>7</xdr:row>
      <xdr:rowOff>228600</xdr:rowOff>
    </xdr:to>
    <xdr:sp macro="[0]!Sheet2.HURows">
      <xdr:nvSpPr>
        <xdr:cNvPr id="9" name="Rounded Rectangle 9">
          <a:hlinkClick r:id="rId9"/>
        </xdr:cNvPr>
        <xdr:cNvSpPr>
          <a:spLocks/>
        </xdr:cNvSpPr>
      </xdr:nvSpPr>
      <xdr:spPr>
        <a:xfrm>
          <a:off x="6838950" y="43529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11</xdr:col>
      <xdr:colOff>0</xdr:colOff>
      <xdr:row>1</xdr:row>
      <xdr:rowOff>0</xdr:rowOff>
    </xdr:from>
    <xdr:to>
      <xdr:col>13</xdr:col>
      <xdr:colOff>438150</xdr:colOff>
      <xdr:row>1</xdr:row>
      <xdr:rowOff>352425</xdr:rowOff>
    </xdr:to>
    <xdr:sp macro="[0]!Sheet2.HURows">
      <xdr:nvSpPr>
        <xdr:cNvPr id="10" name="Rounded Rectangle 10">
          <a:hlinkClick r:id="rId10"/>
        </xdr:cNvPr>
        <xdr:cNvSpPr>
          <a:spLocks/>
        </xdr:cNvSpPr>
      </xdr:nvSpPr>
      <xdr:spPr>
        <a:xfrm>
          <a:off x="6838950" y="4000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4</xdr:row>
      <xdr:rowOff>400050</xdr:rowOff>
    </xdr:from>
    <xdr:to>
      <xdr:col>17</xdr:col>
      <xdr:colOff>447675</xdr:colOff>
      <xdr:row>4</xdr:row>
      <xdr:rowOff>752475</xdr:rowOff>
    </xdr:to>
    <xdr:sp macro="[0]!Sheet2.HURows">
      <xdr:nvSpPr>
        <xdr:cNvPr id="1" name="Rounded Rectangle 2">
          <a:hlinkClick r:id="rId1"/>
        </xdr:cNvPr>
        <xdr:cNvSpPr>
          <a:spLocks/>
        </xdr:cNvSpPr>
      </xdr:nvSpPr>
      <xdr:spPr>
        <a:xfrm>
          <a:off x="10963275" y="12668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15</xdr:col>
      <xdr:colOff>9525</xdr:colOff>
      <xdr:row>4</xdr:row>
      <xdr:rowOff>828675</xdr:rowOff>
    </xdr:from>
    <xdr:to>
      <xdr:col>17</xdr:col>
      <xdr:colOff>447675</xdr:colOff>
      <xdr:row>5</xdr:row>
      <xdr:rowOff>171450</xdr:rowOff>
    </xdr:to>
    <xdr:sp macro="[0]!Sheet2.HURows">
      <xdr:nvSpPr>
        <xdr:cNvPr id="2" name="Rounded Rectangle 3">
          <a:hlinkClick r:id="rId2"/>
        </xdr:cNvPr>
        <xdr:cNvSpPr>
          <a:spLocks/>
        </xdr:cNvSpPr>
      </xdr:nvSpPr>
      <xdr:spPr>
        <a:xfrm>
          <a:off x="10953750" y="16954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15</xdr:col>
      <xdr:colOff>9525</xdr:colOff>
      <xdr:row>5</xdr:row>
      <xdr:rowOff>257175</xdr:rowOff>
    </xdr:from>
    <xdr:to>
      <xdr:col>17</xdr:col>
      <xdr:colOff>447675</xdr:colOff>
      <xdr:row>5</xdr:row>
      <xdr:rowOff>609600</xdr:rowOff>
    </xdr:to>
    <xdr:sp macro="[0]!Sheet2.HURows">
      <xdr:nvSpPr>
        <xdr:cNvPr id="3" name="Rounded Rectangle 4">
          <a:hlinkClick r:id="rId3"/>
        </xdr:cNvPr>
        <xdr:cNvSpPr>
          <a:spLocks/>
        </xdr:cNvSpPr>
      </xdr:nvSpPr>
      <xdr:spPr>
        <a:xfrm>
          <a:off x="10953750" y="21336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15</xdr:col>
      <xdr:colOff>9525</xdr:colOff>
      <xdr:row>5</xdr:row>
      <xdr:rowOff>704850</xdr:rowOff>
    </xdr:from>
    <xdr:to>
      <xdr:col>17</xdr:col>
      <xdr:colOff>447675</xdr:colOff>
      <xdr:row>5</xdr:row>
      <xdr:rowOff>1057275</xdr:rowOff>
    </xdr:to>
    <xdr:sp macro="[0]!Sheet2.HURows">
      <xdr:nvSpPr>
        <xdr:cNvPr id="4" name="Rounded Rectangle 5">
          <a:hlinkClick r:id="rId4"/>
        </xdr:cNvPr>
        <xdr:cNvSpPr>
          <a:spLocks/>
        </xdr:cNvSpPr>
      </xdr:nvSpPr>
      <xdr:spPr>
        <a:xfrm>
          <a:off x="10953750" y="25812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15</xdr:col>
      <xdr:colOff>19050</xdr:colOff>
      <xdr:row>5</xdr:row>
      <xdr:rowOff>1143000</xdr:rowOff>
    </xdr:from>
    <xdr:to>
      <xdr:col>17</xdr:col>
      <xdr:colOff>457200</xdr:colOff>
      <xdr:row>6</xdr:row>
      <xdr:rowOff>9525</xdr:rowOff>
    </xdr:to>
    <xdr:sp macro="[0]!Sheet2.HURows">
      <xdr:nvSpPr>
        <xdr:cNvPr id="5" name="Rounded Rectangle 6">
          <a:hlinkClick r:id="rId5"/>
        </xdr:cNvPr>
        <xdr:cNvSpPr>
          <a:spLocks/>
        </xdr:cNvSpPr>
      </xdr:nvSpPr>
      <xdr:spPr>
        <a:xfrm>
          <a:off x="10963275" y="30194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15</xdr:col>
      <xdr:colOff>28575</xdr:colOff>
      <xdr:row>6</xdr:row>
      <xdr:rowOff>123825</xdr:rowOff>
    </xdr:from>
    <xdr:to>
      <xdr:col>17</xdr:col>
      <xdr:colOff>466725</xdr:colOff>
      <xdr:row>7</xdr:row>
      <xdr:rowOff>276225</xdr:rowOff>
    </xdr:to>
    <xdr:sp macro="[0]!Sheet2.HURows">
      <xdr:nvSpPr>
        <xdr:cNvPr id="6" name="Rounded Rectangle 7">
          <a:hlinkClick r:id="rId6"/>
        </xdr:cNvPr>
        <xdr:cNvSpPr>
          <a:spLocks/>
        </xdr:cNvSpPr>
      </xdr:nvSpPr>
      <xdr:spPr>
        <a:xfrm>
          <a:off x="10972800" y="34861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15</xdr:col>
      <xdr:colOff>9525</xdr:colOff>
      <xdr:row>8</xdr:row>
      <xdr:rowOff>47625</xdr:rowOff>
    </xdr:from>
    <xdr:to>
      <xdr:col>17</xdr:col>
      <xdr:colOff>447675</xdr:colOff>
      <xdr:row>9</xdr:row>
      <xdr:rowOff>66675</xdr:rowOff>
    </xdr:to>
    <xdr:sp macro="[0]!Sheet2.HURows">
      <xdr:nvSpPr>
        <xdr:cNvPr id="7" name="Rounded Rectangle 8">
          <a:hlinkClick r:id="rId7"/>
        </xdr:cNvPr>
        <xdr:cNvSpPr>
          <a:spLocks/>
        </xdr:cNvSpPr>
      </xdr:nvSpPr>
      <xdr:spPr>
        <a:xfrm>
          <a:off x="10953750" y="39243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15</xdr:col>
      <xdr:colOff>0</xdr:colOff>
      <xdr:row>9</xdr:row>
      <xdr:rowOff>171450</xdr:rowOff>
    </xdr:from>
    <xdr:to>
      <xdr:col>17</xdr:col>
      <xdr:colOff>438150</xdr:colOff>
      <xdr:row>10</xdr:row>
      <xdr:rowOff>200025</xdr:rowOff>
    </xdr:to>
    <xdr:sp macro="[0]!Sheet2.HURows">
      <xdr:nvSpPr>
        <xdr:cNvPr id="8" name="Rounded Rectangle 9">
          <a:hlinkClick r:id="rId8"/>
        </xdr:cNvPr>
        <xdr:cNvSpPr>
          <a:spLocks/>
        </xdr:cNvSpPr>
      </xdr:nvSpPr>
      <xdr:spPr>
        <a:xfrm>
          <a:off x="10944225" y="43719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15</xdr:col>
      <xdr:colOff>0</xdr:colOff>
      <xdr:row>10</xdr:row>
      <xdr:rowOff>295275</xdr:rowOff>
    </xdr:from>
    <xdr:to>
      <xdr:col>17</xdr:col>
      <xdr:colOff>438150</xdr:colOff>
      <xdr:row>11</xdr:row>
      <xdr:rowOff>323850</xdr:rowOff>
    </xdr:to>
    <xdr:sp macro="[0]!Sheet2.HURows">
      <xdr:nvSpPr>
        <xdr:cNvPr id="9" name="Rounded Rectangle 10">
          <a:hlinkClick r:id="rId9"/>
        </xdr:cNvPr>
        <xdr:cNvSpPr>
          <a:spLocks/>
        </xdr:cNvSpPr>
      </xdr:nvSpPr>
      <xdr:spPr>
        <a:xfrm>
          <a:off x="10944225" y="48196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15</xdr:col>
      <xdr:colOff>0</xdr:colOff>
      <xdr:row>4</xdr:row>
      <xdr:rowOff>0</xdr:rowOff>
    </xdr:from>
    <xdr:to>
      <xdr:col>17</xdr:col>
      <xdr:colOff>438150</xdr:colOff>
      <xdr:row>4</xdr:row>
      <xdr:rowOff>352425</xdr:rowOff>
    </xdr:to>
    <xdr:sp macro="[0]!Sheet2.HURows">
      <xdr:nvSpPr>
        <xdr:cNvPr id="10" name="Rounded Rectangle 11">
          <a:hlinkClick r:id="rId10"/>
        </xdr:cNvPr>
        <xdr:cNvSpPr>
          <a:spLocks/>
        </xdr:cNvSpPr>
      </xdr:nvSpPr>
      <xdr:spPr>
        <a:xfrm>
          <a:off x="10944225" y="8667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533400</xdr:colOff>
      <xdr:row>17</xdr:row>
      <xdr:rowOff>161925</xdr:rowOff>
    </xdr:from>
    <xdr:to>
      <xdr:col>48</xdr:col>
      <xdr:colOff>209550</xdr:colOff>
      <xdr:row>23</xdr:row>
      <xdr:rowOff>152400</xdr:rowOff>
    </xdr:to>
    <xdr:sp macro="[0]!Sheet2.HURows">
      <xdr:nvSpPr>
        <xdr:cNvPr id="1" name="Rounded Rectangle 1">
          <a:hlinkClick r:id="rId1"/>
        </xdr:cNvPr>
        <xdr:cNvSpPr>
          <a:spLocks/>
        </xdr:cNvSpPr>
      </xdr:nvSpPr>
      <xdr:spPr>
        <a:xfrm>
          <a:off x="16525875" y="3810000"/>
          <a:ext cx="2114550" cy="5715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800" b="1" i="0" u="none" baseline="0">
              <a:solidFill>
                <a:srgbClr val="FFFFFF"/>
              </a:solidFill>
              <a:latin typeface="Calibri"/>
              <a:ea typeface="Calibri"/>
              <a:cs typeface="Calibri"/>
            </a:rPr>
            <a:t>DATA SHEET</a:t>
          </a:r>
        </a:p>
      </xdr:txBody>
    </xdr:sp>
    <xdr:clientData/>
  </xdr:twoCellAnchor>
  <xdr:twoCellAnchor>
    <xdr:from>
      <xdr:col>44</xdr:col>
      <xdr:colOff>561975</xdr:colOff>
      <xdr:row>11</xdr:row>
      <xdr:rowOff>38100</xdr:rowOff>
    </xdr:from>
    <xdr:to>
      <xdr:col>48</xdr:col>
      <xdr:colOff>238125</xdr:colOff>
      <xdr:row>15</xdr:row>
      <xdr:rowOff>104775</xdr:rowOff>
    </xdr:to>
    <xdr:sp macro="[0]!Sheet2.HURows1">
      <xdr:nvSpPr>
        <xdr:cNvPr id="2" name="Rounded Rectangle 4"/>
        <xdr:cNvSpPr>
          <a:spLocks/>
        </xdr:cNvSpPr>
      </xdr:nvSpPr>
      <xdr:spPr>
        <a:xfrm>
          <a:off x="16554450" y="2543175"/>
          <a:ext cx="2114550" cy="82867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800" b="1" i="0" u="none" baseline="0">
              <a:solidFill>
                <a:srgbClr val="FFFFFF"/>
              </a:solidFill>
              <a:latin typeface="Calibri"/>
              <a:ea typeface="Calibri"/>
              <a:cs typeface="Calibri"/>
            </a:rPr>
            <a:t>Click</a:t>
          </a:r>
          <a:r>
            <a:rPr lang="en-US" cap="none" sz="1800" b="1" i="0" u="none" baseline="0">
              <a:solidFill>
                <a:srgbClr val="FFFFFF"/>
              </a:solidFill>
              <a:latin typeface="Calibri"/>
              <a:ea typeface="Calibri"/>
              <a:cs typeface="Calibri"/>
            </a:rPr>
            <a:t> Me First Plz Before Print</a:t>
          </a:r>
        </a:p>
      </xdr:txBody>
    </xdr:sp>
    <xdr:clientData/>
  </xdr:twoCellAnchor>
  <xdr:twoCellAnchor>
    <xdr:from>
      <xdr:col>44</xdr:col>
      <xdr:colOff>495300</xdr:colOff>
      <xdr:row>26</xdr:row>
      <xdr:rowOff>57150</xdr:rowOff>
    </xdr:from>
    <xdr:to>
      <xdr:col>48</xdr:col>
      <xdr:colOff>171450</xdr:colOff>
      <xdr:row>29</xdr:row>
      <xdr:rowOff>19050</xdr:rowOff>
    </xdr:to>
    <xdr:sp macro="[0]!Sheet2.prints">
      <xdr:nvSpPr>
        <xdr:cNvPr id="3" name="Rounded Rectangle 5">
          <a:hlinkClick r:id="rId2"/>
        </xdr:cNvPr>
        <xdr:cNvSpPr>
          <a:spLocks/>
        </xdr:cNvSpPr>
      </xdr:nvSpPr>
      <xdr:spPr>
        <a:xfrm>
          <a:off x="16487775" y="4857750"/>
          <a:ext cx="2114550" cy="5334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800" b="1" i="0" u="none" baseline="0">
              <a:solidFill>
                <a:srgbClr val="FFFFFF"/>
              </a:solidFill>
              <a:latin typeface="Calibri"/>
              <a:ea typeface="Calibri"/>
              <a:cs typeface="Calibri"/>
            </a:rPr>
            <a:t>PRINT</a:t>
          </a:r>
        </a:p>
      </xdr:txBody>
    </xdr:sp>
    <xdr:clientData/>
  </xdr:twoCellAnchor>
  <xdr:twoCellAnchor>
    <xdr:from>
      <xdr:col>8</xdr:col>
      <xdr:colOff>9525</xdr:colOff>
      <xdr:row>0</xdr:row>
      <xdr:rowOff>95250</xdr:rowOff>
    </xdr:from>
    <xdr:to>
      <xdr:col>12</xdr:col>
      <xdr:colOff>133350</xdr:colOff>
      <xdr:row>2</xdr:row>
      <xdr:rowOff>66675</xdr:rowOff>
    </xdr:to>
    <xdr:sp macro="[0]!Sheet2.HURows">
      <xdr:nvSpPr>
        <xdr:cNvPr id="4" name="Rounded Rectangle 8">
          <a:hlinkClick r:id="rId3"/>
        </xdr:cNvPr>
        <xdr:cNvSpPr>
          <a:spLocks/>
        </xdr:cNvSpPr>
      </xdr:nvSpPr>
      <xdr:spPr>
        <a:xfrm>
          <a:off x="2790825" y="95250"/>
          <a:ext cx="133350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12</xdr:col>
      <xdr:colOff>209550</xdr:colOff>
      <xdr:row>0</xdr:row>
      <xdr:rowOff>95250</xdr:rowOff>
    </xdr:from>
    <xdr:to>
      <xdr:col>15</xdr:col>
      <xdr:colOff>314325</xdr:colOff>
      <xdr:row>2</xdr:row>
      <xdr:rowOff>66675</xdr:rowOff>
    </xdr:to>
    <xdr:sp macro="[0]!Sheet2.HURows">
      <xdr:nvSpPr>
        <xdr:cNvPr id="5" name="Rounded Rectangle 9">
          <a:hlinkClick r:id="rId4"/>
        </xdr:cNvPr>
        <xdr:cNvSpPr>
          <a:spLocks/>
        </xdr:cNvSpPr>
      </xdr:nvSpPr>
      <xdr:spPr>
        <a:xfrm>
          <a:off x="4200525" y="95250"/>
          <a:ext cx="13811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16</xdr:col>
      <xdr:colOff>66675</xdr:colOff>
      <xdr:row>0</xdr:row>
      <xdr:rowOff>95250</xdr:rowOff>
    </xdr:from>
    <xdr:to>
      <xdr:col>20</xdr:col>
      <xdr:colOff>47625</xdr:colOff>
      <xdr:row>2</xdr:row>
      <xdr:rowOff>66675</xdr:rowOff>
    </xdr:to>
    <xdr:sp macro="[0]!Sheet2.HURows">
      <xdr:nvSpPr>
        <xdr:cNvPr id="6" name="Rounded Rectangle 10">
          <a:hlinkClick r:id="rId5"/>
        </xdr:cNvPr>
        <xdr:cNvSpPr>
          <a:spLocks/>
        </xdr:cNvSpPr>
      </xdr:nvSpPr>
      <xdr:spPr>
        <a:xfrm>
          <a:off x="5657850" y="95250"/>
          <a:ext cx="12001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20</xdr:col>
      <xdr:colOff>133350</xdr:colOff>
      <xdr:row>0</xdr:row>
      <xdr:rowOff>95250</xdr:rowOff>
    </xdr:from>
    <xdr:to>
      <xdr:col>24</xdr:col>
      <xdr:colOff>285750</xdr:colOff>
      <xdr:row>2</xdr:row>
      <xdr:rowOff>66675</xdr:rowOff>
    </xdr:to>
    <xdr:sp macro="[0]!Sheet2.HURows">
      <xdr:nvSpPr>
        <xdr:cNvPr id="7" name="Rounded Rectangle 11">
          <a:hlinkClick r:id="rId6"/>
        </xdr:cNvPr>
        <xdr:cNvSpPr>
          <a:spLocks/>
        </xdr:cNvSpPr>
      </xdr:nvSpPr>
      <xdr:spPr>
        <a:xfrm>
          <a:off x="6943725" y="95250"/>
          <a:ext cx="140970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25</xdr:col>
      <xdr:colOff>85725</xdr:colOff>
      <xdr:row>0</xdr:row>
      <xdr:rowOff>85725</xdr:rowOff>
    </xdr:from>
    <xdr:to>
      <xdr:col>28</xdr:col>
      <xdr:colOff>219075</xdr:colOff>
      <xdr:row>2</xdr:row>
      <xdr:rowOff>57150</xdr:rowOff>
    </xdr:to>
    <xdr:sp macro="[0]!Sheet2.HURows">
      <xdr:nvSpPr>
        <xdr:cNvPr id="8" name="Rounded Rectangle 12">
          <a:hlinkClick r:id="rId7"/>
        </xdr:cNvPr>
        <xdr:cNvSpPr>
          <a:spLocks/>
        </xdr:cNvSpPr>
      </xdr:nvSpPr>
      <xdr:spPr>
        <a:xfrm>
          <a:off x="8439150" y="85725"/>
          <a:ext cx="14192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29</xdr:col>
      <xdr:colOff>76200</xdr:colOff>
      <xdr:row>0</xdr:row>
      <xdr:rowOff>85725</xdr:rowOff>
    </xdr:from>
    <xdr:to>
      <xdr:col>32</xdr:col>
      <xdr:colOff>161925</xdr:colOff>
      <xdr:row>2</xdr:row>
      <xdr:rowOff>57150</xdr:rowOff>
    </xdr:to>
    <xdr:sp macro="[0]!Sheet2.HURows">
      <xdr:nvSpPr>
        <xdr:cNvPr id="9" name="Rounded Rectangle 13">
          <a:hlinkClick r:id="rId8"/>
        </xdr:cNvPr>
        <xdr:cNvSpPr>
          <a:spLocks/>
        </xdr:cNvSpPr>
      </xdr:nvSpPr>
      <xdr:spPr>
        <a:xfrm>
          <a:off x="9982200" y="85725"/>
          <a:ext cx="1266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32</xdr:col>
      <xdr:colOff>257175</xdr:colOff>
      <xdr:row>0</xdr:row>
      <xdr:rowOff>95250</xdr:rowOff>
    </xdr:from>
    <xdr:to>
      <xdr:col>37</xdr:col>
      <xdr:colOff>28575</xdr:colOff>
      <xdr:row>2</xdr:row>
      <xdr:rowOff>38100</xdr:rowOff>
    </xdr:to>
    <xdr:sp macro="[0]!Sheet2.HURows">
      <xdr:nvSpPr>
        <xdr:cNvPr id="10" name="Rounded Rectangle 14">
          <a:hlinkClick r:id="rId9"/>
        </xdr:cNvPr>
        <xdr:cNvSpPr>
          <a:spLocks/>
        </xdr:cNvSpPr>
      </xdr:nvSpPr>
      <xdr:spPr>
        <a:xfrm>
          <a:off x="11344275" y="95250"/>
          <a:ext cx="1200150" cy="32385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37</xdr:col>
      <xdr:colOff>104775</xdr:colOff>
      <xdr:row>0</xdr:row>
      <xdr:rowOff>66675</xdr:rowOff>
    </xdr:from>
    <xdr:to>
      <xdr:col>40</xdr:col>
      <xdr:colOff>209550</xdr:colOff>
      <xdr:row>2</xdr:row>
      <xdr:rowOff>38100</xdr:rowOff>
    </xdr:to>
    <xdr:sp macro="[0]!Sheet2.HURows">
      <xdr:nvSpPr>
        <xdr:cNvPr id="11" name="Rounded Rectangle 15">
          <a:hlinkClick r:id="rId10"/>
        </xdr:cNvPr>
        <xdr:cNvSpPr>
          <a:spLocks/>
        </xdr:cNvSpPr>
      </xdr:nvSpPr>
      <xdr:spPr>
        <a:xfrm>
          <a:off x="12620625" y="66675"/>
          <a:ext cx="143827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40</xdr:col>
      <xdr:colOff>266700</xdr:colOff>
      <xdr:row>0</xdr:row>
      <xdr:rowOff>38100</xdr:rowOff>
    </xdr:from>
    <xdr:to>
      <xdr:col>43</xdr:col>
      <xdr:colOff>152400</xdr:colOff>
      <xdr:row>2</xdr:row>
      <xdr:rowOff>28575</xdr:rowOff>
    </xdr:to>
    <xdr:sp macro="[0]!Sheet2.HURows">
      <xdr:nvSpPr>
        <xdr:cNvPr id="12" name="Rounded Rectangle 16">
          <a:hlinkClick r:id="rId11"/>
        </xdr:cNvPr>
        <xdr:cNvSpPr>
          <a:spLocks/>
        </xdr:cNvSpPr>
      </xdr:nvSpPr>
      <xdr:spPr>
        <a:xfrm>
          <a:off x="14116050" y="38100"/>
          <a:ext cx="1419225" cy="37147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xdr:col>
      <xdr:colOff>180975</xdr:colOff>
      <xdr:row>0</xdr:row>
      <xdr:rowOff>95250</xdr:rowOff>
    </xdr:from>
    <xdr:to>
      <xdr:col>7</xdr:col>
      <xdr:colOff>381000</xdr:colOff>
      <xdr:row>2</xdr:row>
      <xdr:rowOff>66675</xdr:rowOff>
    </xdr:to>
    <xdr:sp macro="[0]!Sheet2.HURows">
      <xdr:nvSpPr>
        <xdr:cNvPr id="13" name="Rounded Rectangle 17">
          <a:hlinkClick r:id="rId12"/>
        </xdr:cNvPr>
        <xdr:cNvSpPr>
          <a:spLocks/>
        </xdr:cNvSpPr>
      </xdr:nvSpPr>
      <xdr:spPr>
        <a:xfrm>
          <a:off x="1047750" y="95250"/>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twoCellAnchor>
    <xdr:from>
      <xdr:col>0</xdr:col>
      <xdr:colOff>9525</xdr:colOff>
      <xdr:row>0</xdr:row>
      <xdr:rowOff>95250</xdr:rowOff>
    </xdr:from>
    <xdr:to>
      <xdr:col>2</xdr:col>
      <xdr:colOff>104775</xdr:colOff>
      <xdr:row>2</xdr:row>
      <xdr:rowOff>66675</xdr:rowOff>
    </xdr:to>
    <xdr:sp macro="[0]!Sheet2.prints">
      <xdr:nvSpPr>
        <xdr:cNvPr id="14" name="Rounded Rectangle 19">
          <a:hlinkClick r:id="rId13"/>
        </xdr:cNvPr>
        <xdr:cNvSpPr>
          <a:spLocks/>
        </xdr:cNvSpPr>
      </xdr:nvSpPr>
      <xdr:spPr>
        <a:xfrm>
          <a:off x="9525" y="95250"/>
          <a:ext cx="9620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600" b="1" i="0" u="none" baseline="0">
              <a:solidFill>
                <a:srgbClr val="FFFFFF"/>
              </a:solidFill>
              <a:latin typeface="Calibri"/>
              <a:ea typeface="Calibri"/>
              <a:cs typeface="Calibri"/>
            </a:rPr>
            <a:t>PRINT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4</xdr:row>
      <xdr:rowOff>0</xdr:rowOff>
    </xdr:from>
    <xdr:to>
      <xdr:col>25</xdr:col>
      <xdr:colOff>447675</xdr:colOff>
      <xdr:row>5</xdr:row>
      <xdr:rowOff>161925</xdr:rowOff>
    </xdr:to>
    <xdr:sp macro="[0]!Sheet2.HURows">
      <xdr:nvSpPr>
        <xdr:cNvPr id="1" name="Rounded Rectangle 2">
          <a:hlinkClick r:id="rId1"/>
        </xdr:cNvPr>
        <xdr:cNvSpPr>
          <a:spLocks/>
        </xdr:cNvSpPr>
      </xdr:nvSpPr>
      <xdr:spPr>
        <a:xfrm>
          <a:off x="7029450" y="8096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23</xdr:col>
      <xdr:colOff>9525</xdr:colOff>
      <xdr:row>6</xdr:row>
      <xdr:rowOff>38100</xdr:rowOff>
    </xdr:from>
    <xdr:to>
      <xdr:col>25</xdr:col>
      <xdr:colOff>447675</xdr:colOff>
      <xdr:row>6</xdr:row>
      <xdr:rowOff>390525</xdr:rowOff>
    </xdr:to>
    <xdr:sp macro="[0]!Sheet2.HURows">
      <xdr:nvSpPr>
        <xdr:cNvPr id="2" name="Rounded Rectangle 3">
          <a:hlinkClick r:id="rId2"/>
        </xdr:cNvPr>
        <xdr:cNvSpPr>
          <a:spLocks/>
        </xdr:cNvSpPr>
      </xdr:nvSpPr>
      <xdr:spPr>
        <a:xfrm>
          <a:off x="7019925" y="12382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23</xdr:col>
      <xdr:colOff>9525</xdr:colOff>
      <xdr:row>7</xdr:row>
      <xdr:rowOff>38100</xdr:rowOff>
    </xdr:from>
    <xdr:to>
      <xdr:col>25</xdr:col>
      <xdr:colOff>447675</xdr:colOff>
      <xdr:row>9</xdr:row>
      <xdr:rowOff>95250</xdr:rowOff>
    </xdr:to>
    <xdr:sp macro="[0]!Sheet2.HURows">
      <xdr:nvSpPr>
        <xdr:cNvPr id="3" name="Rounded Rectangle 4">
          <a:hlinkClick r:id="rId3"/>
        </xdr:cNvPr>
        <xdr:cNvSpPr>
          <a:spLocks/>
        </xdr:cNvSpPr>
      </xdr:nvSpPr>
      <xdr:spPr>
        <a:xfrm>
          <a:off x="7019925" y="16764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23</xdr:col>
      <xdr:colOff>9525</xdr:colOff>
      <xdr:row>9</xdr:row>
      <xdr:rowOff>190500</xdr:rowOff>
    </xdr:from>
    <xdr:to>
      <xdr:col>25</xdr:col>
      <xdr:colOff>447675</xdr:colOff>
      <xdr:row>11</xdr:row>
      <xdr:rowOff>142875</xdr:rowOff>
    </xdr:to>
    <xdr:sp macro="[0]!Sheet2.HURows">
      <xdr:nvSpPr>
        <xdr:cNvPr id="4" name="Rounded Rectangle 5">
          <a:hlinkClick r:id="rId4"/>
        </xdr:cNvPr>
        <xdr:cNvSpPr>
          <a:spLocks/>
        </xdr:cNvSpPr>
      </xdr:nvSpPr>
      <xdr:spPr>
        <a:xfrm>
          <a:off x="7019925" y="21240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23</xdr:col>
      <xdr:colOff>19050</xdr:colOff>
      <xdr:row>12</xdr:row>
      <xdr:rowOff>28575</xdr:rowOff>
    </xdr:from>
    <xdr:to>
      <xdr:col>25</xdr:col>
      <xdr:colOff>457200</xdr:colOff>
      <xdr:row>13</xdr:row>
      <xdr:rowOff>180975</xdr:rowOff>
    </xdr:to>
    <xdr:sp macro="[0]!Sheet2.HURows">
      <xdr:nvSpPr>
        <xdr:cNvPr id="5" name="Rounded Rectangle 6">
          <a:hlinkClick r:id="rId5"/>
        </xdr:cNvPr>
        <xdr:cNvSpPr>
          <a:spLocks/>
        </xdr:cNvSpPr>
      </xdr:nvSpPr>
      <xdr:spPr>
        <a:xfrm>
          <a:off x="7029450" y="25622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23</xdr:col>
      <xdr:colOff>28575</xdr:colOff>
      <xdr:row>14</xdr:row>
      <xdr:rowOff>95250</xdr:rowOff>
    </xdr:from>
    <xdr:to>
      <xdr:col>25</xdr:col>
      <xdr:colOff>466725</xdr:colOff>
      <xdr:row>16</xdr:row>
      <xdr:rowOff>47625</xdr:rowOff>
    </xdr:to>
    <xdr:sp macro="[0]!Sheet2.HURows">
      <xdr:nvSpPr>
        <xdr:cNvPr id="6" name="Rounded Rectangle 7">
          <a:hlinkClick r:id="rId6"/>
        </xdr:cNvPr>
        <xdr:cNvSpPr>
          <a:spLocks/>
        </xdr:cNvSpPr>
      </xdr:nvSpPr>
      <xdr:spPr>
        <a:xfrm>
          <a:off x="7038975" y="30289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23</xdr:col>
      <xdr:colOff>9525</xdr:colOff>
      <xdr:row>16</xdr:row>
      <xdr:rowOff>142875</xdr:rowOff>
    </xdr:from>
    <xdr:to>
      <xdr:col>25</xdr:col>
      <xdr:colOff>447675</xdr:colOff>
      <xdr:row>17</xdr:row>
      <xdr:rowOff>285750</xdr:rowOff>
    </xdr:to>
    <xdr:sp macro="[0]!Sheet2.HURows">
      <xdr:nvSpPr>
        <xdr:cNvPr id="7" name="Rounded Rectangle 8">
          <a:hlinkClick r:id="rId7"/>
        </xdr:cNvPr>
        <xdr:cNvSpPr>
          <a:spLocks/>
        </xdr:cNvSpPr>
      </xdr:nvSpPr>
      <xdr:spPr>
        <a:xfrm>
          <a:off x="7019925" y="34671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23</xdr:col>
      <xdr:colOff>0</xdr:colOff>
      <xdr:row>17</xdr:row>
      <xdr:rowOff>390525</xdr:rowOff>
    </xdr:from>
    <xdr:to>
      <xdr:col>25</xdr:col>
      <xdr:colOff>438150</xdr:colOff>
      <xdr:row>17</xdr:row>
      <xdr:rowOff>742950</xdr:rowOff>
    </xdr:to>
    <xdr:sp macro="[0]!Sheet2.HURows">
      <xdr:nvSpPr>
        <xdr:cNvPr id="8" name="Rounded Rectangle 9">
          <a:hlinkClick r:id="rId8"/>
        </xdr:cNvPr>
        <xdr:cNvSpPr>
          <a:spLocks/>
        </xdr:cNvSpPr>
      </xdr:nvSpPr>
      <xdr:spPr>
        <a:xfrm>
          <a:off x="7010400" y="39147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23</xdr:col>
      <xdr:colOff>0</xdr:colOff>
      <xdr:row>18</xdr:row>
      <xdr:rowOff>0</xdr:rowOff>
    </xdr:from>
    <xdr:to>
      <xdr:col>25</xdr:col>
      <xdr:colOff>438150</xdr:colOff>
      <xdr:row>18</xdr:row>
      <xdr:rowOff>352425</xdr:rowOff>
    </xdr:to>
    <xdr:sp macro="[0]!Sheet2.HURows">
      <xdr:nvSpPr>
        <xdr:cNvPr id="9" name="Rounded Rectangle 10">
          <a:hlinkClick r:id="rId9"/>
        </xdr:cNvPr>
        <xdr:cNvSpPr>
          <a:spLocks/>
        </xdr:cNvSpPr>
      </xdr:nvSpPr>
      <xdr:spPr>
        <a:xfrm>
          <a:off x="7010400" y="43624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23</xdr:col>
      <xdr:colOff>0</xdr:colOff>
      <xdr:row>2</xdr:row>
      <xdr:rowOff>0</xdr:rowOff>
    </xdr:from>
    <xdr:to>
      <xdr:col>25</xdr:col>
      <xdr:colOff>438150</xdr:colOff>
      <xdr:row>3</xdr:row>
      <xdr:rowOff>152400</xdr:rowOff>
    </xdr:to>
    <xdr:sp macro="[0]!Sheet2.HURows">
      <xdr:nvSpPr>
        <xdr:cNvPr id="10" name="Rounded Rectangle 11">
          <a:hlinkClick r:id="rId10"/>
        </xdr:cNvPr>
        <xdr:cNvSpPr>
          <a:spLocks/>
        </xdr:cNvSpPr>
      </xdr:nvSpPr>
      <xdr:spPr>
        <a:xfrm>
          <a:off x="7010400" y="4095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104775</xdr:rowOff>
    </xdr:from>
    <xdr:to>
      <xdr:col>6</xdr:col>
      <xdr:colOff>200025</xdr:colOff>
      <xdr:row>8</xdr:row>
      <xdr:rowOff>19050</xdr:rowOff>
    </xdr:to>
    <xdr:sp>
      <xdr:nvSpPr>
        <xdr:cNvPr id="1" name="Straight Connector 3"/>
        <xdr:cNvSpPr>
          <a:spLocks/>
        </xdr:cNvSpPr>
      </xdr:nvSpPr>
      <xdr:spPr>
        <a:xfrm flipV="1">
          <a:off x="828675" y="1828800"/>
          <a:ext cx="1600200" cy="933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247650</xdr:colOff>
      <xdr:row>5</xdr:row>
      <xdr:rowOff>85725</xdr:rowOff>
    </xdr:from>
    <xdr:to>
      <xdr:col>12</xdr:col>
      <xdr:colOff>361950</xdr:colOff>
      <xdr:row>8</xdr:row>
      <xdr:rowOff>0</xdr:rowOff>
    </xdr:to>
    <xdr:sp>
      <xdr:nvSpPr>
        <xdr:cNvPr id="2" name="Straight Connector 4"/>
        <xdr:cNvSpPr>
          <a:spLocks/>
        </xdr:cNvSpPr>
      </xdr:nvSpPr>
      <xdr:spPr>
        <a:xfrm flipV="1">
          <a:off x="3219450" y="1809750"/>
          <a:ext cx="1600200" cy="933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5</xdr:row>
      <xdr:rowOff>209550</xdr:rowOff>
    </xdr:from>
    <xdr:to>
      <xdr:col>21</xdr:col>
      <xdr:colOff>447675</xdr:colOff>
      <xdr:row>5</xdr:row>
      <xdr:rowOff>561975</xdr:rowOff>
    </xdr:to>
    <xdr:sp macro="[0]!Sheet2.HURows">
      <xdr:nvSpPr>
        <xdr:cNvPr id="3" name="Rounded Rectangle 6">
          <a:hlinkClick r:id="rId1"/>
        </xdr:cNvPr>
        <xdr:cNvSpPr>
          <a:spLocks/>
        </xdr:cNvSpPr>
      </xdr:nvSpPr>
      <xdr:spPr>
        <a:xfrm>
          <a:off x="7315200" y="193357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19</xdr:col>
      <xdr:colOff>9525</xdr:colOff>
      <xdr:row>5</xdr:row>
      <xdr:rowOff>638175</xdr:rowOff>
    </xdr:from>
    <xdr:to>
      <xdr:col>21</xdr:col>
      <xdr:colOff>447675</xdr:colOff>
      <xdr:row>7</xdr:row>
      <xdr:rowOff>161925</xdr:rowOff>
    </xdr:to>
    <xdr:sp macro="[0]!Sheet2.HURows">
      <xdr:nvSpPr>
        <xdr:cNvPr id="4" name="Rounded Rectangle 7">
          <a:hlinkClick r:id="rId2"/>
        </xdr:cNvPr>
        <xdr:cNvSpPr>
          <a:spLocks/>
        </xdr:cNvSpPr>
      </xdr:nvSpPr>
      <xdr:spPr>
        <a:xfrm>
          <a:off x="7305675" y="23622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19</xdr:col>
      <xdr:colOff>9525</xdr:colOff>
      <xdr:row>8</xdr:row>
      <xdr:rowOff>57150</xdr:rowOff>
    </xdr:from>
    <xdr:to>
      <xdr:col>21</xdr:col>
      <xdr:colOff>447675</xdr:colOff>
      <xdr:row>10</xdr:row>
      <xdr:rowOff>28575</xdr:rowOff>
    </xdr:to>
    <xdr:sp macro="[0]!Sheet2.HURows">
      <xdr:nvSpPr>
        <xdr:cNvPr id="5" name="Rounded Rectangle 8">
          <a:hlinkClick r:id="rId3"/>
        </xdr:cNvPr>
        <xdr:cNvSpPr>
          <a:spLocks/>
        </xdr:cNvSpPr>
      </xdr:nvSpPr>
      <xdr:spPr>
        <a:xfrm>
          <a:off x="7305675" y="28003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19</xdr:col>
      <xdr:colOff>9525</xdr:colOff>
      <xdr:row>10</xdr:row>
      <xdr:rowOff>123825</xdr:rowOff>
    </xdr:from>
    <xdr:to>
      <xdr:col>21</xdr:col>
      <xdr:colOff>447675</xdr:colOff>
      <xdr:row>12</xdr:row>
      <xdr:rowOff>95250</xdr:rowOff>
    </xdr:to>
    <xdr:sp macro="[0]!Sheet2.HURows">
      <xdr:nvSpPr>
        <xdr:cNvPr id="6" name="Rounded Rectangle 9">
          <a:hlinkClick r:id="rId4"/>
        </xdr:cNvPr>
        <xdr:cNvSpPr>
          <a:spLocks/>
        </xdr:cNvSpPr>
      </xdr:nvSpPr>
      <xdr:spPr>
        <a:xfrm>
          <a:off x="7305675" y="32480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19</xdr:col>
      <xdr:colOff>19050</xdr:colOff>
      <xdr:row>12</xdr:row>
      <xdr:rowOff>180975</xdr:rowOff>
    </xdr:from>
    <xdr:to>
      <xdr:col>21</xdr:col>
      <xdr:colOff>457200</xdr:colOff>
      <xdr:row>15</xdr:row>
      <xdr:rowOff>57150</xdr:rowOff>
    </xdr:to>
    <xdr:sp macro="[0]!Sheet2.HURows">
      <xdr:nvSpPr>
        <xdr:cNvPr id="7" name="Rounded Rectangle 10">
          <a:hlinkClick r:id="rId5"/>
        </xdr:cNvPr>
        <xdr:cNvSpPr>
          <a:spLocks/>
        </xdr:cNvSpPr>
      </xdr:nvSpPr>
      <xdr:spPr>
        <a:xfrm>
          <a:off x="7315200" y="36861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19</xdr:col>
      <xdr:colOff>28575</xdr:colOff>
      <xdr:row>15</xdr:row>
      <xdr:rowOff>171450</xdr:rowOff>
    </xdr:from>
    <xdr:to>
      <xdr:col>21</xdr:col>
      <xdr:colOff>466725</xdr:colOff>
      <xdr:row>18</xdr:row>
      <xdr:rowOff>28575</xdr:rowOff>
    </xdr:to>
    <xdr:sp macro="[0]!Sheet2.HURows">
      <xdr:nvSpPr>
        <xdr:cNvPr id="8" name="Rounded Rectangle 11">
          <a:hlinkClick r:id="rId6"/>
        </xdr:cNvPr>
        <xdr:cNvSpPr>
          <a:spLocks/>
        </xdr:cNvSpPr>
      </xdr:nvSpPr>
      <xdr:spPr>
        <a:xfrm>
          <a:off x="7324725" y="41529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19</xdr:col>
      <xdr:colOff>9525</xdr:colOff>
      <xdr:row>18</xdr:row>
      <xdr:rowOff>123825</xdr:rowOff>
    </xdr:from>
    <xdr:to>
      <xdr:col>21</xdr:col>
      <xdr:colOff>447675</xdr:colOff>
      <xdr:row>20</xdr:row>
      <xdr:rowOff>85725</xdr:rowOff>
    </xdr:to>
    <xdr:sp macro="[0]!Sheet2.HURows">
      <xdr:nvSpPr>
        <xdr:cNvPr id="9" name="Rounded Rectangle 12">
          <a:hlinkClick r:id="rId7"/>
        </xdr:cNvPr>
        <xdr:cNvSpPr>
          <a:spLocks/>
        </xdr:cNvSpPr>
      </xdr:nvSpPr>
      <xdr:spPr>
        <a:xfrm>
          <a:off x="7305675" y="45910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19</xdr:col>
      <xdr:colOff>0</xdr:colOff>
      <xdr:row>20</xdr:row>
      <xdr:rowOff>190500</xdr:rowOff>
    </xdr:from>
    <xdr:to>
      <xdr:col>21</xdr:col>
      <xdr:colOff>438150</xdr:colOff>
      <xdr:row>21</xdr:row>
      <xdr:rowOff>352425</xdr:rowOff>
    </xdr:to>
    <xdr:sp macro="[0]!Sheet2.HURows">
      <xdr:nvSpPr>
        <xdr:cNvPr id="10" name="Rounded Rectangle 13">
          <a:hlinkClick r:id="rId8"/>
        </xdr:cNvPr>
        <xdr:cNvSpPr>
          <a:spLocks/>
        </xdr:cNvSpPr>
      </xdr:nvSpPr>
      <xdr:spPr>
        <a:xfrm>
          <a:off x="7296150" y="50387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19</xdr:col>
      <xdr:colOff>0</xdr:colOff>
      <xdr:row>22</xdr:row>
      <xdr:rowOff>66675</xdr:rowOff>
    </xdr:from>
    <xdr:to>
      <xdr:col>21</xdr:col>
      <xdr:colOff>438150</xdr:colOff>
      <xdr:row>24</xdr:row>
      <xdr:rowOff>19050</xdr:rowOff>
    </xdr:to>
    <xdr:sp macro="[0]!Sheet2.HURows">
      <xdr:nvSpPr>
        <xdr:cNvPr id="11" name="Rounded Rectangle 14">
          <a:hlinkClick r:id="rId9"/>
        </xdr:cNvPr>
        <xdr:cNvSpPr>
          <a:spLocks/>
        </xdr:cNvSpPr>
      </xdr:nvSpPr>
      <xdr:spPr>
        <a:xfrm>
          <a:off x="7296150" y="54864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19</xdr:col>
      <xdr:colOff>0</xdr:colOff>
      <xdr:row>4</xdr:row>
      <xdr:rowOff>0</xdr:rowOff>
    </xdr:from>
    <xdr:to>
      <xdr:col>21</xdr:col>
      <xdr:colOff>438150</xdr:colOff>
      <xdr:row>5</xdr:row>
      <xdr:rowOff>161925</xdr:rowOff>
    </xdr:to>
    <xdr:sp macro="[0]!Sheet2.HURows">
      <xdr:nvSpPr>
        <xdr:cNvPr id="12" name="Rounded Rectangle 15">
          <a:hlinkClick r:id="rId10"/>
        </xdr:cNvPr>
        <xdr:cNvSpPr>
          <a:spLocks/>
        </xdr:cNvSpPr>
      </xdr:nvSpPr>
      <xdr:spPr>
        <a:xfrm>
          <a:off x="7296150" y="15335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13</xdr:row>
      <xdr:rowOff>0</xdr:rowOff>
    </xdr:from>
    <xdr:to>
      <xdr:col>26</xdr:col>
      <xdr:colOff>447675</xdr:colOff>
      <xdr:row>14</xdr:row>
      <xdr:rowOff>152400</xdr:rowOff>
    </xdr:to>
    <xdr:sp macro="[0]!Sheet2.HURows">
      <xdr:nvSpPr>
        <xdr:cNvPr id="1" name="Rounded Rectangle 2">
          <a:hlinkClick r:id="rId1"/>
        </xdr:cNvPr>
        <xdr:cNvSpPr>
          <a:spLocks/>
        </xdr:cNvSpPr>
      </xdr:nvSpPr>
      <xdr:spPr>
        <a:xfrm>
          <a:off x="7934325" y="2400300"/>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24</xdr:col>
      <xdr:colOff>9525</xdr:colOff>
      <xdr:row>15</xdr:row>
      <xdr:rowOff>38100</xdr:rowOff>
    </xdr:from>
    <xdr:to>
      <xdr:col>26</xdr:col>
      <xdr:colOff>447675</xdr:colOff>
      <xdr:row>16</xdr:row>
      <xdr:rowOff>200025</xdr:rowOff>
    </xdr:to>
    <xdr:sp macro="[0]!Sheet2.HURows">
      <xdr:nvSpPr>
        <xdr:cNvPr id="2" name="Rounded Rectangle 3">
          <a:hlinkClick r:id="rId2"/>
        </xdr:cNvPr>
        <xdr:cNvSpPr>
          <a:spLocks/>
        </xdr:cNvSpPr>
      </xdr:nvSpPr>
      <xdr:spPr>
        <a:xfrm>
          <a:off x="7924800" y="28289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24</xdr:col>
      <xdr:colOff>9525</xdr:colOff>
      <xdr:row>17</xdr:row>
      <xdr:rowOff>85725</xdr:rowOff>
    </xdr:from>
    <xdr:to>
      <xdr:col>26</xdr:col>
      <xdr:colOff>447675</xdr:colOff>
      <xdr:row>17</xdr:row>
      <xdr:rowOff>438150</xdr:rowOff>
    </xdr:to>
    <xdr:sp macro="[0]!Sheet2.HURows">
      <xdr:nvSpPr>
        <xdr:cNvPr id="3" name="Rounded Rectangle 4">
          <a:hlinkClick r:id="rId3"/>
        </xdr:cNvPr>
        <xdr:cNvSpPr>
          <a:spLocks/>
        </xdr:cNvSpPr>
      </xdr:nvSpPr>
      <xdr:spPr>
        <a:xfrm>
          <a:off x="7924800" y="32670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24</xdr:col>
      <xdr:colOff>9525</xdr:colOff>
      <xdr:row>18</xdr:row>
      <xdr:rowOff>57150</xdr:rowOff>
    </xdr:from>
    <xdr:to>
      <xdr:col>26</xdr:col>
      <xdr:colOff>447675</xdr:colOff>
      <xdr:row>18</xdr:row>
      <xdr:rowOff>409575</xdr:rowOff>
    </xdr:to>
    <xdr:sp macro="[0]!Sheet2.HURows">
      <xdr:nvSpPr>
        <xdr:cNvPr id="4" name="Rounded Rectangle 5">
          <a:hlinkClick r:id="rId4"/>
        </xdr:cNvPr>
        <xdr:cNvSpPr>
          <a:spLocks/>
        </xdr:cNvSpPr>
      </xdr:nvSpPr>
      <xdr:spPr>
        <a:xfrm>
          <a:off x="7924800" y="37147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24</xdr:col>
      <xdr:colOff>19050</xdr:colOff>
      <xdr:row>18</xdr:row>
      <xdr:rowOff>495300</xdr:rowOff>
    </xdr:from>
    <xdr:to>
      <xdr:col>26</xdr:col>
      <xdr:colOff>457200</xdr:colOff>
      <xdr:row>19</xdr:row>
      <xdr:rowOff>133350</xdr:rowOff>
    </xdr:to>
    <xdr:sp macro="[0]!Sheet2.HURows">
      <xdr:nvSpPr>
        <xdr:cNvPr id="5" name="Rounded Rectangle 6">
          <a:hlinkClick r:id="rId5"/>
        </xdr:cNvPr>
        <xdr:cNvSpPr>
          <a:spLocks/>
        </xdr:cNvSpPr>
      </xdr:nvSpPr>
      <xdr:spPr>
        <a:xfrm>
          <a:off x="7934325" y="41529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23</xdr:col>
      <xdr:colOff>600075</xdr:colOff>
      <xdr:row>22</xdr:row>
      <xdr:rowOff>200025</xdr:rowOff>
    </xdr:from>
    <xdr:to>
      <xdr:col>26</xdr:col>
      <xdr:colOff>428625</xdr:colOff>
      <xdr:row>24</xdr:row>
      <xdr:rowOff>142875</xdr:rowOff>
    </xdr:to>
    <xdr:sp macro="[0]!Sheet2.HURows">
      <xdr:nvSpPr>
        <xdr:cNvPr id="6" name="Rounded Rectangle 7">
          <a:hlinkClick r:id="rId6"/>
        </xdr:cNvPr>
        <xdr:cNvSpPr>
          <a:spLocks/>
        </xdr:cNvSpPr>
      </xdr:nvSpPr>
      <xdr:spPr>
        <a:xfrm>
          <a:off x="7905750" y="47625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23</xdr:col>
      <xdr:colOff>581025</xdr:colOff>
      <xdr:row>24</xdr:row>
      <xdr:rowOff>238125</xdr:rowOff>
    </xdr:from>
    <xdr:to>
      <xdr:col>26</xdr:col>
      <xdr:colOff>409575</xdr:colOff>
      <xdr:row>25</xdr:row>
      <xdr:rowOff>209550</xdr:rowOff>
    </xdr:to>
    <xdr:sp macro="[0]!Sheet2.HURows">
      <xdr:nvSpPr>
        <xdr:cNvPr id="7" name="Rounded Rectangle 8">
          <a:hlinkClick r:id="rId7"/>
        </xdr:cNvPr>
        <xdr:cNvSpPr>
          <a:spLocks/>
        </xdr:cNvSpPr>
      </xdr:nvSpPr>
      <xdr:spPr>
        <a:xfrm>
          <a:off x="7886700" y="52006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23</xdr:col>
      <xdr:colOff>571500</xdr:colOff>
      <xdr:row>25</xdr:row>
      <xdr:rowOff>314325</xdr:rowOff>
    </xdr:from>
    <xdr:to>
      <xdr:col>26</xdr:col>
      <xdr:colOff>400050</xdr:colOff>
      <xdr:row>26</xdr:row>
      <xdr:rowOff>171450</xdr:rowOff>
    </xdr:to>
    <xdr:sp macro="[0]!Sheet2.HURows">
      <xdr:nvSpPr>
        <xdr:cNvPr id="8" name="Rounded Rectangle 9">
          <a:hlinkClick r:id="rId8"/>
        </xdr:cNvPr>
        <xdr:cNvSpPr>
          <a:spLocks/>
        </xdr:cNvSpPr>
      </xdr:nvSpPr>
      <xdr:spPr>
        <a:xfrm>
          <a:off x="7877175" y="56483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23</xdr:col>
      <xdr:colOff>571500</xdr:colOff>
      <xdr:row>26</xdr:row>
      <xdr:rowOff>266700</xdr:rowOff>
    </xdr:from>
    <xdr:to>
      <xdr:col>26</xdr:col>
      <xdr:colOff>400050</xdr:colOff>
      <xdr:row>27</xdr:row>
      <xdr:rowOff>257175</xdr:rowOff>
    </xdr:to>
    <xdr:sp macro="[0]!Sheet2.HURows">
      <xdr:nvSpPr>
        <xdr:cNvPr id="9" name="Rounded Rectangle 10">
          <a:hlinkClick r:id="rId9"/>
        </xdr:cNvPr>
        <xdr:cNvSpPr>
          <a:spLocks/>
        </xdr:cNvSpPr>
      </xdr:nvSpPr>
      <xdr:spPr>
        <a:xfrm>
          <a:off x="7877175" y="60960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24</xdr:col>
      <xdr:colOff>0</xdr:colOff>
      <xdr:row>11</xdr:row>
      <xdr:rowOff>0</xdr:rowOff>
    </xdr:from>
    <xdr:to>
      <xdr:col>26</xdr:col>
      <xdr:colOff>438150</xdr:colOff>
      <xdr:row>12</xdr:row>
      <xdr:rowOff>152400</xdr:rowOff>
    </xdr:to>
    <xdr:sp macro="[0]!Sheet2.HURows">
      <xdr:nvSpPr>
        <xdr:cNvPr id="10" name="Rounded Rectangle 11">
          <a:hlinkClick r:id="rId10"/>
        </xdr:cNvPr>
        <xdr:cNvSpPr>
          <a:spLocks/>
        </xdr:cNvSpPr>
      </xdr:nvSpPr>
      <xdr:spPr>
        <a:xfrm>
          <a:off x="7915275" y="20002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209550</xdr:rowOff>
    </xdr:from>
    <xdr:to>
      <xdr:col>10</xdr:col>
      <xdr:colOff>447675</xdr:colOff>
      <xdr:row>5</xdr:row>
      <xdr:rowOff>561975</xdr:rowOff>
    </xdr:to>
    <xdr:sp macro="[0]!Sheet2.HURows">
      <xdr:nvSpPr>
        <xdr:cNvPr id="1" name="Rounded Rectangle 1">
          <a:hlinkClick r:id="rId1"/>
        </xdr:cNvPr>
        <xdr:cNvSpPr>
          <a:spLocks/>
        </xdr:cNvSpPr>
      </xdr:nvSpPr>
      <xdr:spPr>
        <a:xfrm>
          <a:off x="7581900" y="11144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8</xdr:col>
      <xdr:colOff>9525</xdr:colOff>
      <xdr:row>6</xdr:row>
      <xdr:rowOff>66675</xdr:rowOff>
    </xdr:from>
    <xdr:to>
      <xdr:col>10</xdr:col>
      <xdr:colOff>447675</xdr:colOff>
      <xdr:row>7</xdr:row>
      <xdr:rowOff>266700</xdr:rowOff>
    </xdr:to>
    <xdr:sp macro="[0]!Sheet2.HURows">
      <xdr:nvSpPr>
        <xdr:cNvPr id="2" name="Rounded Rectangle 2">
          <a:hlinkClick r:id="rId2"/>
        </xdr:cNvPr>
        <xdr:cNvSpPr>
          <a:spLocks/>
        </xdr:cNvSpPr>
      </xdr:nvSpPr>
      <xdr:spPr>
        <a:xfrm>
          <a:off x="7572375" y="15430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8</xdr:col>
      <xdr:colOff>9525</xdr:colOff>
      <xdr:row>7</xdr:row>
      <xdr:rowOff>352425</xdr:rowOff>
    </xdr:from>
    <xdr:to>
      <xdr:col>10</xdr:col>
      <xdr:colOff>447675</xdr:colOff>
      <xdr:row>7</xdr:row>
      <xdr:rowOff>704850</xdr:rowOff>
    </xdr:to>
    <xdr:sp macro="[0]!Sheet2.HURows">
      <xdr:nvSpPr>
        <xdr:cNvPr id="3" name="Rounded Rectangle 3">
          <a:hlinkClick r:id="rId3"/>
        </xdr:cNvPr>
        <xdr:cNvSpPr>
          <a:spLocks/>
        </xdr:cNvSpPr>
      </xdr:nvSpPr>
      <xdr:spPr>
        <a:xfrm>
          <a:off x="7572375" y="19812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8</xdr:col>
      <xdr:colOff>9525</xdr:colOff>
      <xdr:row>7</xdr:row>
      <xdr:rowOff>800100</xdr:rowOff>
    </xdr:from>
    <xdr:to>
      <xdr:col>10</xdr:col>
      <xdr:colOff>447675</xdr:colOff>
      <xdr:row>8</xdr:row>
      <xdr:rowOff>9525</xdr:rowOff>
    </xdr:to>
    <xdr:sp macro="[0]!Sheet2.HURows">
      <xdr:nvSpPr>
        <xdr:cNvPr id="4" name="Rounded Rectangle 4">
          <a:hlinkClick r:id="rId4"/>
        </xdr:cNvPr>
        <xdr:cNvSpPr>
          <a:spLocks/>
        </xdr:cNvSpPr>
      </xdr:nvSpPr>
      <xdr:spPr>
        <a:xfrm>
          <a:off x="7572375" y="24288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8</xdr:col>
      <xdr:colOff>19050</xdr:colOff>
      <xdr:row>8</xdr:row>
      <xdr:rowOff>95250</xdr:rowOff>
    </xdr:from>
    <xdr:to>
      <xdr:col>10</xdr:col>
      <xdr:colOff>457200</xdr:colOff>
      <xdr:row>10</xdr:row>
      <xdr:rowOff>66675</xdr:rowOff>
    </xdr:to>
    <xdr:sp macro="[0]!Sheet2.HURows">
      <xdr:nvSpPr>
        <xdr:cNvPr id="5" name="Rounded Rectangle 5">
          <a:hlinkClick r:id="rId5"/>
        </xdr:cNvPr>
        <xdr:cNvSpPr>
          <a:spLocks/>
        </xdr:cNvSpPr>
      </xdr:nvSpPr>
      <xdr:spPr>
        <a:xfrm>
          <a:off x="7581900" y="28670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8</xdr:col>
      <xdr:colOff>28575</xdr:colOff>
      <xdr:row>10</xdr:row>
      <xdr:rowOff>180975</xdr:rowOff>
    </xdr:from>
    <xdr:to>
      <xdr:col>10</xdr:col>
      <xdr:colOff>466725</xdr:colOff>
      <xdr:row>12</xdr:row>
      <xdr:rowOff>142875</xdr:rowOff>
    </xdr:to>
    <xdr:sp macro="[0]!Sheet2.HURows">
      <xdr:nvSpPr>
        <xdr:cNvPr id="6" name="Rounded Rectangle 6">
          <a:hlinkClick r:id="rId6"/>
        </xdr:cNvPr>
        <xdr:cNvSpPr>
          <a:spLocks/>
        </xdr:cNvSpPr>
      </xdr:nvSpPr>
      <xdr:spPr>
        <a:xfrm>
          <a:off x="7591425" y="33337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8</xdr:col>
      <xdr:colOff>9525</xdr:colOff>
      <xdr:row>13</xdr:row>
      <xdr:rowOff>47625</xdr:rowOff>
    </xdr:from>
    <xdr:to>
      <xdr:col>10</xdr:col>
      <xdr:colOff>447675</xdr:colOff>
      <xdr:row>15</xdr:row>
      <xdr:rowOff>9525</xdr:rowOff>
    </xdr:to>
    <xdr:sp macro="[0]!Sheet2.HURows">
      <xdr:nvSpPr>
        <xdr:cNvPr id="7" name="Rounded Rectangle 7">
          <a:hlinkClick r:id="rId7"/>
        </xdr:cNvPr>
        <xdr:cNvSpPr>
          <a:spLocks/>
        </xdr:cNvSpPr>
      </xdr:nvSpPr>
      <xdr:spPr>
        <a:xfrm>
          <a:off x="7572375" y="37719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8</xdr:col>
      <xdr:colOff>0</xdr:colOff>
      <xdr:row>15</xdr:row>
      <xdr:rowOff>114300</xdr:rowOff>
    </xdr:from>
    <xdr:to>
      <xdr:col>10</xdr:col>
      <xdr:colOff>438150</xdr:colOff>
      <xdr:row>17</xdr:row>
      <xdr:rowOff>85725</xdr:rowOff>
    </xdr:to>
    <xdr:sp macro="[0]!Sheet2.HURows">
      <xdr:nvSpPr>
        <xdr:cNvPr id="8" name="Rounded Rectangle 8">
          <a:hlinkClick r:id="rId8"/>
        </xdr:cNvPr>
        <xdr:cNvSpPr>
          <a:spLocks/>
        </xdr:cNvSpPr>
      </xdr:nvSpPr>
      <xdr:spPr>
        <a:xfrm>
          <a:off x="7562850" y="42195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8</xdr:col>
      <xdr:colOff>0</xdr:colOff>
      <xdr:row>17</xdr:row>
      <xdr:rowOff>180975</xdr:rowOff>
    </xdr:from>
    <xdr:to>
      <xdr:col>10</xdr:col>
      <xdr:colOff>438150</xdr:colOff>
      <xdr:row>19</xdr:row>
      <xdr:rowOff>152400</xdr:rowOff>
    </xdr:to>
    <xdr:sp macro="[0]!Sheet2.HURows">
      <xdr:nvSpPr>
        <xdr:cNvPr id="9" name="Rounded Rectangle 9">
          <a:hlinkClick r:id="rId9"/>
        </xdr:cNvPr>
        <xdr:cNvSpPr>
          <a:spLocks/>
        </xdr:cNvSpPr>
      </xdr:nvSpPr>
      <xdr:spPr>
        <a:xfrm>
          <a:off x="7562850" y="46672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8</xdr:col>
      <xdr:colOff>0</xdr:colOff>
      <xdr:row>4</xdr:row>
      <xdr:rowOff>0</xdr:rowOff>
    </xdr:from>
    <xdr:to>
      <xdr:col>10</xdr:col>
      <xdr:colOff>438150</xdr:colOff>
      <xdr:row>5</xdr:row>
      <xdr:rowOff>161925</xdr:rowOff>
    </xdr:to>
    <xdr:sp macro="[0]!Sheet2.HURows">
      <xdr:nvSpPr>
        <xdr:cNvPr id="10" name="Rounded Rectangle 10">
          <a:hlinkClick r:id="rId10"/>
        </xdr:cNvPr>
        <xdr:cNvSpPr>
          <a:spLocks/>
        </xdr:cNvSpPr>
      </xdr:nvSpPr>
      <xdr:spPr>
        <a:xfrm>
          <a:off x="7562850" y="7143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51</xdr:row>
      <xdr:rowOff>142875</xdr:rowOff>
    </xdr:from>
    <xdr:to>
      <xdr:col>3</xdr:col>
      <xdr:colOff>38100</xdr:colOff>
      <xdr:row>53</xdr:row>
      <xdr:rowOff>200025</xdr:rowOff>
    </xdr:to>
    <xdr:sp>
      <xdr:nvSpPr>
        <xdr:cNvPr id="1" name="Oval 2"/>
        <xdr:cNvSpPr>
          <a:spLocks/>
        </xdr:cNvSpPr>
      </xdr:nvSpPr>
      <xdr:spPr>
        <a:xfrm>
          <a:off x="314325" y="10315575"/>
          <a:ext cx="933450" cy="4572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 </a:t>
          </a:r>
          <a:r>
            <a:rPr lang="en-US" cap="none" sz="1100" b="1" i="0" u="none" baseline="0">
              <a:solidFill>
                <a:srgbClr val="000000"/>
              </a:solidFill>
            </a:rPr>
            <a:t>NBST /  </a:t>
          </a:r>
          <a:r>
            <a:rPr lang="en-US" cap="none" sz="1100" b="1" i="0" u="none" baseline="0">
              <a:solidFill>
                <a:srgbClr val="000000"/>
              </a:solidFill>
            </a:rPr>
            <a:t>Bank
</a:t>
          </a:r>
          <a:r>
            <a:rPr lang="en-US" cap="none" sz="1100" b="1" i="0" u="none" baseline="0">
              <a:solidFill>
                <a:srgbClr val="000000"/>
              </a:solidFill>
            </a:rPr>
            <a:t>    Seal</a:t>
          </a:r>
        </a:p>
      </xdr:txBody>
    </xdr:sp>
    <xdr:clientData/>
  </xdr:twoCellAnchor>
  <xdr:twoCellAnchor>
    <xdr:from>
      <xdr:col>21</xdr:col>
      <xdr:colOff>19050</xdr:colOff>
      <xdr:row>3</xdr:row>
      <xdr:rowOff>161925</xdr:rowOff>
    </xdr:from>
    <xdr:to>
      <xdr:col>23</xdr:col>
      <xdr:colOff>447675</xdr:colOff>
      <xdr:row>6</xdr:row>
      <xdr:rowOff>9525</xdr:rowOff>
    </xdr:to>
    <xdr:sp macro="[0]!Sheet2.HURows">
      <xdr:nvSpPr>
        <xdr:cNvPr id="2" name="Rounded Rectangle 3">
          <a:hlinkClick r:id="rId1"/>
        </xdr:cNvPr>
        <xdr:cNvSpPr>
          <a:spLocks/>
        </xdr:cNvSpPr>
      </xdr:nvSpPr>
      <xdr:spPr>
        <a:xfrm>
          <a:off x="8401050" y="8477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21</xdr:col>
      <xdr:colOff>9525</xdr:colOff>
      <xdr:row>6</xdr:row>
      <xdr:rowOff>85725</xdr:rowOff>
    </xdr:from>
    <xdr:to>
      <xdr:col>23</xdr:col>
      <xdr:colOff>447675</xdr:colOff>
      <xdr:row>8</xdr:row>
      <xdr:rowOff>47625</xdr:rowOff>
    </xdr:to>
    <xdr:sp macro="[0]!Sheet2.HURows">
      <xdr:nvSpPr>
        <xdr:cNvPr id="3" name="Rounded Rectangle 4">
          <a:hlinkClick r:id="rId2"/>
        </xdr:cNvPr>
        <xdr:cNvSpPr>
          <a:spLocks/>
        </xdr:cNvSpPr>
      </xdr:nvSpPr>
      <xdr:spPr>
        <a:xfrm>
          <a:off x="8391525" y="12763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21</xdr:col>
      <xdr:colOff>9525</xdr:colOff>
      <xdr:row>8</xdr:row>
      <xdr:rowOff>133350</xdr:rowOff>
    </xdr:from>
    <xdr:to>
      <xdr:col>23</xdr:col>
      <xdr:colOff>447675</xdr:colOff>
      <xdr:row>10</xdr:row>
      <xdr:rowOff>95250</xdr:rowOff>
    </xdr:to>
    <xdr:sp macro="[0]!Sheet2.HURows">
      <xdr:nvSpPr>
        <xdr:cNvPr id="4" name="Rounded Rectangle 5">
          <a:hlinkClick r:id="rId3"/>
        </xdr:cNvPr>
        <xdr:cNvSpPr>
          <a:spLocks/>
        </xdr:cNvSpPr>
      </xdr:nvSpPr>
      <xdr:spPr>
        <a:xfrm>
          <a:off x="8391525" y="17145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21</xdr:col>
      <xdr:colOff>9525</xdr:colOff>
      <xdr:row>10</xdr:row>
      <xdr:rowOff>190500</xdr:rowOff>
    </xdr:from>
    <xdr:to>
      <xdr:col>23</xdr:col>
      <xdr:colOff>447675</xdr:colOff>
      <xdr:row>12</xdr:row>
      <xdr:rowOff>142875</xdr:rowOff>
    </xdr:to>
    <xdr:sp macro="[0]!Sheet2.HURows">
      <xdr:nvSpPr>
        <xdr:cNvPr id="5" name="Rounded Rectangle 6">
          <a:hlinkClick r:id="rId4"/>
        </xdr:cNvPr>
        <xdr:cNvSpPr>
          <a:spLocks/>
        </xdr:cNvSpPr>
      </xdr:nvSpPr>
      <xdr:spPr>
        <a:xfrm>
          <a:off x="8391525" y="21621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21</xdr:col>
      <xdr:colOff>19050</xdr:colOff>
      <xdr:row>13</xdr:row>
      <xdr:rowOff>28575</xdr:rowOff>
    </xdr:from>
    <xdr:to>
      <xdr:col>23</xdr:col>
      <xdr:colOff>457200</xdr:colOff>
      <xdr:row>14</xdr:row>
      <xdr:rowOff>180975</xdr:rowOff>
    </xdr:to>
    <xdr:sp macro="[0]!Sheet2.HURows">
      <xdr:nvSpPr>
        <xdr:cNvPr id="6" name="Rounded Rectangle 7">
          <a:hlinkClick r:id="rId5"/>
        </xdr:cNvPr>
        <xdr:cNvSpPr>
          <a:spLocks/>
        </xdr:cNvSpPr>
      </xdr:nvSpPr>
      <xdr:spPr>
        <a:xfrm>
          <a:off x="8401050" y="26003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21</xdr:col>
      <xdr:colOff>28575</xdr:colOff>
      <xdr:row>15</xdr:row>
      <xdr:rowOff>95250</xdr:rowOff>
    </xdr:from>
    <xdr:to>
      <xdr:col>23</xdr:col>
      <xdr:colOff>466725</xdr:colOff>
      <xdr:row>17</xdr:row>
      <xdr:rowOff>38100</xdr:rowOff>
    </xdr:to>
    <xdr:sp macro="[0]!Sheet2.HURows">
      <xdr:nvSpPr>
        <xdr:cNvPr id="7" name="Rounded Rectangle 8">
          <a:hlinkClick r:id="rId6"/>
        </xdr:cNvPr>
        <xdr:cNvSpPr>
          <a:spLocks/>
        </xdr:cNvSpPr>
      </xdr:nvSpPr>
      <xdr:spPr>
        <a:xfrm>
          <a:off x="8410575" y="30670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21</xdr:col>
      <xdr:colOff>9525</xdr:colOff>
      <xdr:row>17</xdr:row>
      <xdr:rowOff>133350</xdr:rowOff>
    </xdr:from>
    <xdr:to>
      <xdr:col>23</xdr:col>
      <xdr:colOff>447675</xdr:colOff>
      <xdr:row>19</xdr:row>
      <xdr:rowOff>76200</xdr:rowOff>
    </xdr:to>
    <xdr:sp macro="[0]!Sheet2.HURows">
      <xdr:nvSpPr>
        <xdr:cNvPr id="8" name="Rounded Rectangle 9">
          <a:hlinkClick r:id="rId7"/>
        </xdr:cNvPr>
        <xdr:cNvSpPr>
          <a:spLocks/>
        </xdr:cNvSpPr>
      </xdr:nvSpPr>
      <xdr:spPr>
        <a:xfrm>
          <a:off x="8391525" y="35052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21</xdr:col>
      <xdr:colOff>0</xdr:colOff>
      <xdr:row>19</xdr:row>
      <xdr:rowOff>180975</xdr:rowOff>
    </xdr:from>
    <xdr:to>
      <xdr:col>23</xdr:col>
      <xdr:colOff>438150</xdr:colOff>
      <xdr:row>21</xdr:row>
      <xdr:rowOff>133350</xdr:rowOff>
    </xdr:to>
    <xdr:sp macro="[0]!Sheet2.HURows">
      <xdr:nvSpPr>
        <xdr:cNvPr id="9" name="Rounded Rectangle 10">
          <a:hlinkClick r:id="rId8"/>
        </xdr:cNvPr>
        <xdr:cNvSpPr>
          <a:spLocks/>
        </xdr:cNvSpPr>
      </xdr:nvSpPr>
      <xdr:spPr>
        <a:xfrm>
          <a:off x="8382000" y="39528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21</xdr:col>
      <xdr:colOff>0</xdr:colOff>
      <xdr:row>22</xdr:row>
      <xdr:rowOff>28575</xdr:rowOff>
    </xdr:from>
    <xdr:to>
      <xdr:col>23</xdr:col>
      <xdr:colOff>438150</xdr:colOff>
      <xdr:row>23</xdr:row>
      <xdr:rowOff>180975</xdr:rowOff>
    </xdr:to>
    <xdr:sp macro="[0]!Sheet2.HURows">
      <xdr:nvSpPr>
        <xdr:cNvPr id="10" name="Rounded Rectangle 11">
          <a:hlinkClick r:id="rId9"/>
        </xdr:cNvPr>
        <xdr:cNvSpPr>
          <a:spLocks/>
        </xdr:cNvSpPr>
      </xdr:nvSpPr>
      <xdr:spPr>
        <a:xfrm>
          <a:off x="8382000" y="44005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21</xdr:col>
      <xdr:colOff>0</xdr:colOff>
      <xdr:row>2</xdr:row>
      <xdr:rowOff>0</xdr:rowOff>
    </xdr:from>
    <xdr:to>
      <xdr:col>23</xdr:col>
      <xdr:colOff>438150</xdr:colOff>
      <xdr:row>3</xdr:row>
      <xdr:rowOff>114300</xdr:rowOff>
    </xdr:to>
    <xdr:sp macro="[0]!Sheet2.HURows">
      <xdr:nvSpPr>
        <xdr:cNvPr id="11" name="Rounded Rectangle 12">
          <a:hlinkClick r:id="rId10"/>
        </xdr:cNvPr>
        <xdr:cNvSpPr>
          <a:spLocks/>
        </xdr:cNvSpPr>
      </xdr:nvSpPr>
      <xdr:spPr>
        <a:xfrm>
          <a:off x="8382000" y="4476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34</xdr:row>
      <xdr:rowOff>85725</xdr:rowOff>
    </xdr:from>
    <xdr:to>
      <xdr:col>2</xdr:col>
      <xdr:colOff>95250</xdr:colOff>
      <xdr:row>36</xdr:row>
      <xdr:rowOff>161925</xdr:rowOff>
    </xdr:to>
    <xdr:sp>
      <xdr:nvSpPr>
        <xdr:cNvPr id="1" name="Oval 5"/>
        <xdr:cNvSpPr>
          <a:spLocks/>
        </xdr:cNvSpPr>
      </xdr:nvSpPr>
      <xdr:spPr>
        <a:xfrm>
          <a:off x="781050" y="6724650"/>
          <a:ext cx="1076325" cy="4572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DDO Seal</a:t>
          </a:r>
          <a:r>
            <a:rPr lang="en-US" cap="none" sz="1000" b="1" i="0" u="none" baseline="0">
              <a:solidFill>
                <a:srgbClr val="000000"/>
              </a:solidFill>
            </a:rPr>
            <a:t>   
</a:t>
          </a:r>
        </a:p>
      </xdr:txBody>
    </xdr:sp>
    <xdr:clientData/>
  </xdr:twoCellAnchor>
  <xdr:twoCellAnchor>
    <xdr:from>
      <xdr:col>12</xdr:col>
      <xdr:colOff>19050</xdr:colOff>
      <xdr:row>5</xdr:row>
      <xdr:rowOff>19050</xdr:rowOff>
    </xdr:from>
    <xdr:to>
      <xdr:col>14</xdr:col>
      <xdr:colOff>447675</xdr:colOff>
      <xdr:row>6</xdr:row>
      <xdr:rowOff>180975</xdr:rowOff>
    </xdr:to>
    <xdr:sp macro="[0]!Sheet2.HURows">
      <xdr:nvSpPr>
        <xdr:cNvPr id="2" name="Rounded Rectangle 2">
          <a:hlinkClick r:id="rId1"/>
        </xdr:cNvPr>
        <xdr:cNvSpPr>
          <a:spLocks/>
        </xdr:cNvSpPr>
      </xdr:nvSpPr>
      <xdr:spPr>
        <a:xfrm>
          <a:off x="7800975" y="109537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12</xdr:col>
      <xdr:colOff>9525</xdr:colOff>
      <xdr:row>7</xdr:row>
      <xdr:rowOff>66675</xdr:rowOff>
    </xdr:from>
    <xdr:to>
      <xdr:col>14</xdr:col>
      <xdr:colOff>447675</xdr:colOff>
      <xdr:row>9</xdr:row>
      <xdr:rowOff>38100</xdr:rowOff>
    </xdr:to>
    <xdr:sp macro="[0]!Sheet2.HURows">
      <xdr:nvSpPr>
        <xdr:cNvPr id="3" name="Rounded Rectangle 3">
          <a:hlinkClick r:id="rId2"/>
        </xdr:cNvPr>
        <xdr:cNvSpPr>
          <a:spLocks/>
        </xdr:cNvSpPr>
      </xdr:nvSpPr>
      <xdr:spPr>
        <a:xfrm>
          <a:off x="7791450" y="15240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12</xdr:col>
      <xdr:colOff>9525</xdr:colOff>
      <xdr:row>9</xdr:row>
      <xdr:rowOff>123825</xdr:rowOff>
    </xdr:from>
    <xdr:to>
      <xdr:col>14</xdr:col>
      <xdr:colOff>447675</xdr:colOff>
      <xdr:row>11</xdr:row>
      <xdr:rowOff>95250</xdr:rowOff>
    </xdr:to>
    <xdr:sp macro="[0]!Sheet2.HURows">
      <xdr:nvSpPr>
        <xdr:cNvPr id="4" name="Rounded Rectangle 4">
          <a:hlinkClick r:id="rId3"/>
        </xdr:cNvPr>
        <xdr:cNvSpPr>
          <a:spLocks/>
        </xdr:cNvSpPr>
      </xdr:nvSpPr>
      <xdr:spPr>
        <a:xfrm>
          <a:off x="7791450" y="19621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12</xdr:col>
      <xdr:colOff>9525</xdr:colOff>
      <xdr:row>12</xdr:row>
      <xdr:rowOff>0</xdr:rowOff>
    </xdr:from>
    <xdr:to>
      <xdr:col>14</xdr:col>
      <xdr:colOff>447675</xdr:colOff>
      <xdr:row>13</xdr:row>
      <xdr:rowOff>161925</xdr:rowOff>
    </xdr:to>
    <xdr:sp macro="[0]!Sheet2.HURows">
      <xdr:nvSpPr>
        <xdr:cNvPr id="5" name="Rounded Rectangle 5">
          <a:hlinkClick r:id="rId4"/>
        </xdr:cNvPr>
        <xdr:cNvSpPr>
          <a:spLocks/>
        </xdr:cNvSpPr>
      </xdr:nvSpPr>
      <xdr:spPr>
        <a:xfrm>
          <a:off x="7791450" y="24098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12</xdr:col>
      <xdr:colOff>19050</xdr:colOff>
      <xdr:row>14</xdr:row>
      <xdr:rowOff>57150</xdr:rowOff>
    </xdr:from>
    <xdr:to>
      <xdr:col>14</xdr:col>
      <xdr:colOff>457200</xdr:colOff>
      <xdr:row>16</xdr:row>
      <xdr:rowOff>28575</xdr:rowOff>
    </xdr:to>
    <xdr:sp macro="[0]!Sheet2.HURows">
      <xdr:nvSpPr>
        <xdr:cNvPr id="6" name="Rounded Rectangle 6">
          <a:hlinkClick r:id="rId5"/>
        </xdr:cNvPr>
        <xdr:cNvSpPr>
          <a:spLocks/>
        </xdr:cNvSpPr>
      </xdr:nvSpPr>
      <xdr:spPr>
        <a:xfrm>
          <a:off x="7800975" y="28479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12</xdr:col>
      <xdr:colOff>28575</xdr:colOff>
      <xdr:row>16</xdr:row>
      <xdr:rowOff>142875</xdr:rowOff>
    </xdr:from>
    <xdr:to>
      <xdr:col>14</xdr:col>
      <xdr:colOff>466725</xdr:colOff>
      <xdr:row>18</xdr:row>
      <xdr:rowOff>66675</xdr:rowOff>
    </xdr:to>
    <xdr:sp macro="[0]!Sheet2.HURows">
      <xdr:nvSpPr>
        <xdr:cNvPr id="7" name="Rounded Rectangle 7">
          <a:hlinkClick r:id="rId6"/>
        </xdr:cNvPr>
        <xdr:cNvSpPr>
          <a:spLocks/>
        </xdr:cNvSpPr>
      </xdr:nvSpPr>
      <xdr:spPr>
        <a:xfrm>
          <a:off x="7810500" y="33147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12</xdr:col>
      <xdr:colOff>9525</xdr:colOff>
      <xdr:row>18</xdr:row>
      <xdr:rowOff>161925</xdr:rowOff>
    </xdr:from>
    <xdr:to>
      <xdr:col>14</xdr:col>
      <xdr:colOff>447675</xdr:colOff>
      <xdr:row>20</xdr:row>
      <xdr:rowOff>123825</xdr:rowOff>
    </xdr:to>
    <xdr:sp macro="[0]!Sheet2.HURows">
      <xdr:nvSpPr>
        <xdr:cNvPr id="8" name="Rounded Rectangle 8">
          <a:hlinkClick r:id="rId7"/>
        </xdr:cNvPr>
        <xdr:cNvSpPr>
          <a:spLocks/>
        </xdr:cNvSpPr>
      </xdr:nvSpPr>
      <xdr:spPr>
        <a:xfrm>
          <a:off x="7791450" y="37528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12</xdr:col>
      <xdr:colOff>0</xdr:colOff>
      <xdr:row>21</xdr:row>
      <xdr:rowOff>38100</xdr:rowOff>
    </xdr:from>
    <xdr:to>
      <xdr:col>14</xdr:col>
      <xdr:colOff>438150</xdr:colOff>
      <xdr:row>23</xdr:row>
      <xdr:rowOff>9525</xdr:rowOff>
    </xdr:to>
    <xdr:sp macro="[0]!Sheet2.HURows">
      <xdr:nvSpPr>
        <xdr:cNvPr id="9" name="Rounded Rectangle 9">
          <a:hlinkClick r:id="rId8"/>
        </xdr:cNvPr>
        <xdr:cNvSpPr>
          <a:spLocks/>
        </xdr:cNvSpPr>
      </xdr:nvSpPr>
      <xdr:spPr>
        <a:xfrm>
          <a:off x="7781925" y="42005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12</xdr:col>
      <xdr:colOff>0</xdr:colOff>
      <xdr:row>23</xdr:row>
      <xdr:rowOff>104775</xdr:rowOff>
    </xdr:from>
    <xdr:to>
      <xdr:col>14</xdr:col>
      <xdr:colOff>438150</xdr:colOff>
      <xdr:row>25</xdr:row>
      <xdr:rowOff>76200</xdr:rowOff>
    </xdr:to>
    <xdr:sp macro="[0]!Sheet2.HURows">
      <xdr:nvSpPr>
        <xdr:cNvPr id="10" name="Rounded Rectangle 10">
          <a:hlinkClick r:id="rId9"/>
        </xdr:cNvPr>
        <xdr:cNvSpPr>
          <a:spLocks/>
        </xdr:cNvSpPr>
      </xdr:nvSpPr>
      <xdr:spPr>
        <a:xfrm>
          <a:off x="7781925" y="46482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12</xdr:col>
      <xdr:colOff>0</xdr:colOff>
      <xdr:row>3</xdr:row>
      <xdr:rowOff>0</xdr:rowOff>
    </xdr:from>
    <xdr:to>
      <xdr:col>14</xdr:col>
      <xdr:colOff>438150</xdr:colOff>
      <xdr:row>4</xdr:row>
      <xdr:rowOff>161925</xdr:rowOff>
    </xdr:to>
    <xdr:sp macro="[0]!Sheet2.HURows">
      <xdr:nvSpPr>
        <xdr:cNvPr id="11" name="Rounded Rectangle 11">
          <a:hlinkClick r:id="rId10"/>
        </xdr:cNvPr>
        <xdr:cNvSpPr>
          <a:spLocks/>
        </xdr:cNvSpPr>
      </xdr:nvSpPr>
      <xdr:spPr>
        <a:xfrm>
          <a:off x="7781925" y="6953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1</xdr:row>
      <xdr:rowOff>38100</xdr:rowOff>
    </xdr:from>
    <xdr:to>
      <xdr:col>13</xdr:col>
      <xdr:colOff>19050</xdr:colOff>
      <xdr:row>1</xdr:row>
      <xdr:rowOff>352425</xdr:rowOff>
    </xdr:to>
    <xdr:sp>
      <xdr:nvSpPr>
        <xdr:cNvPr id="1" name="Oval 57"/>
        <xdr:cNvSpPr>
          <a:spLocks/>
        </xdr:cNvSpPr>
      </xdr:nvSpPr>
      <xdr:spPr>
        <a:xfrm>
          <a:off x="1952625" y="371475"/>
          <a:ext cx="178117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PAPER</a:t>
          </a:r>
          <a:r>
            <a:rPr lang="en-US" cap="none" sz="1100" b="1" i="0" u="none" baseline="0">
              <a:solidFill>
                <a:srgbClr val="000000"/>
              </a:solidFill>
              <a:latin typeface="Calibri"/>
              <a:ea typeface="Calibri"/>
              <a:cs typeface="Calibri"/>
            </a:rPr>
            <a:t> TOKEN</a:t>
          </a:r>
        </a:p>
      </xdr:txBody>
    </xdr:sp>
    <xdr:clientData/>
  </xdr:twoCellAnchor>
  <xdr:twoCellAnchor>
    <xdr:from>
      <xdr:col>24</xdr:col>
      <xdr:colOff>19050</xdr:colOff>
      <xdr:row>17</xdr:row>
      <xdr:rowOff>19050</xdr:rowOff>
    </xdr:from>
    <xdr:to>
      <xdr:col>26</xdr:col>
      <xdr:colOff>447675</xdr:colOff>
      <xdr:row>18</xdr:row>
      <xdr:rowOff>180975</xdr:rowOff>
    </xdr:to>
    <xdr:sp macro="[0]!Sheet2.HURows">
      <xdr:nvSpPr>
        <xdr:cNvPr id="2" name="Rounded Rectangle 2">
          <a:hlinkClick r:id="rId1"/>
        </xdr:cNvPr>
        <xdr:cNvSpPr>
          <a:spLocks/>
        </xdr:cNvSpPr>
      </xdr:nvSpPr>
      <xdr:spPr>
        <a:xfrm>
          <a:off x="7200900" y="421957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24</xdr:col>
      <xdr:colOff>9525</xdr:colOff>
      <xdr:row>19</xdr:row>
      <xdr:rowOff>66675</xdr:rowOff>
    </xdr:from>
    <xdr:to>
      <xdr:col>26</xdr:col>
      <xdr:colOff>447675</xdr:colOff>
      <xdr:row>21</xdr:row>
      <xdr:rowOff>38100</xdr:rowOff>
    </xdr:to>
    <xdr:sp macro="[0]!Sheet2.HURows">
      <xdr:nvSpPr>
        <xdr:cNvPr id="3" name="Rounded Rectangle 3">
          <a:hlinkClick r:id="rId2"/>
        </xdr:cNvPr>
        <xdr:cNvSpPr>
          <a:spLocks/>
        </xdr:cNvSpPr>
      </xdr:nvSpPr>
      <xdr:spPr>
        <a:xfrm>
          <a:off x="7191375" y="46482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24</xdr:col>
      <xdr:colOff>9525</xdr:colOff>
      <xdr:row>21</xdr:row>
      <xdr:rowOff>123825</xdr:rowOff>
    </xdr:from>
    <xdr:to>
      <xdr:col>26</xdr:col>
      <xdr:colOff>447675</xdr:colOff>
      <xdr:row>23</xdr:row>
      <xdr:rowOff>180975</xdr:rowOff>
    </xdr:to>
    <xdr:sp macro="[0]!Sheet2.HURows">
      <xdr:nvSpPr>
        <xdr:cNvPr id="4" name="Rounded Rectangle 4">
          <a:hlinkClick r:id="rId3"/>
        </xdr:cNvPr>
        <xdr:cNvSpPr>
          <a:spLocks/>
        </xdr:cNvSpPr>
      </xdr:nvSpPr>
      <xdr:spPr>
        <a:xfrm>
          <a:off x="7191375" y="50863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24</xdr:col>
      <xdr:colOff>9525</xdr:colOff>
      <xdr:row>23</xdr:row>
      <xdr:rowOff>276225</xdr:rowOff>
    </xdr:from>
    <xdr:to>
      <xdr:col>26</xdr:col>
      <xdr:colOff>447675</xdr:colOff>
      <xdr:row>25</xdr:row>
      <xdr:rowOff>123825</xdr:rowOff>
    </xdr:to>
    <xdr:sp macro="[0]!Sheet2.HURows">
      <xdr:nvSpPr>
        <xdr:cNvPr id="5" name="Rounded Rectangle 5">
          <a:hlinkClick r:id="rId4"/>
        </xdr:cNvPr>
        <xdr:cNvSpPr>
          <a:spLocks/>
        </xdr:cNvSpPr>
      </xdr:nvSpPr>
      <xdr:spPr>
        <a:xfrm>
          <a:off x="7191375" y="55340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24</xdr:col>
      <xdr:colOff>19050</xdr:colOff>
      <xdr:row>26</xdr:row>
      <xdr:rowOff>19050</xdr:rowOff>
    </xdr:from>
    <xdr:to>
      <xdr:col>26</xdr:col>
      <xdr:colOff>457200</xdr:colOff>
      <xdr:row>27</xdr:row>
      <xdr:rowOff>180975</xdr:rowOff>
    </xdr:to>
    <xdr:sp macro="[0]!Sheet2.HURows">
      <xdr:nvSpPr>
        <xdr:cNvPr id="6" name="Rounded Rectangle 6">
          <a:hlinkClick r:id="rId5"/>
        </xdr:cNvPr>
        <xdr:cNvSpPr>
          <a:spLocks/>
        </xdr:cNvSpPr>
      </xdr:nvSpPr>
      <xdr:spPr>
        <a:xfrm>
          <a:off x="7200900" y="59721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24</xdr:col>
      <xdr:colOff>28575</xdr:colOff>
      <xdr:row>27</xdr:row>
      <xdr:rowOff>295275</xdr:rowOff>
    </xdr:from>
    <xdr:to>
      <xdr:col>26</xdr:col>
      <xdr:colOff>466725</xdr:colOff>
      <xdr:row>29</xdr:row>
      <xdr:rowOff>85725</xdr:rowOff>
    </xdr:to>
    <xdr:sp macro="[0]!Sheet2.HURows">
      <xdr:nvSpPr>
        <xdr:cNvPr id="7" name="Rounded Rectangle 7">
          <a:hlinkClick r:id="rId6"/>
        </xdr:cNvPr>
        <xdr:cNvSpPr>
          <a:spLocks/>
        </xdr:cNvSpPr>
      </xdr:nvSpPr>
      <xdr:spPr>
        <a:xfrm>
          <a:off x="7210425" y="64389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24</xdr:col>
      <xdr:colOff>9525</xdr:colOff>
      <xdr:row>29</xdr:row>
      <xdr:rowOff>180975</xdr:rowOff>
    </xdr:from>
    <xdr:to>
      <xdr:col>26</xdr:col>
      <xdr:colOff>447675</xdr:colOff>
      <xdr:row>31</xdr:row>
      <xdr:rowOff>142875</xdr:rowOff>
    </xdr:to>
    <xdr:sp macro="[0]!Sheet2.HURows">
      <xdr:nvSpPr>
        <xdr:cNvPr id="8" name="Rounded Rectangle 8">
          <a:hlinkClick r:id="rId7"/>
        </xdr:cNvPr>
        <xdr:cNvSpPr>
          <a:spLocks/>
        </xdr:cNvSpPr>
      </xdr:nvSpPr>
      <xdr:spPr>
        <a:xfrm>
          <a:off x="7191375" y="68770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24</xdr:col>
      <xdr:colOff>0</xdr:colOff>
      <xdr:row>32</xdr:row>
      <xdr:rowOff>57150</xdr:rowOff>
    </xdr:from>
    <xdr:to>
      <xdr:col>26</xdr:col>
      <xdr:colOff>438150</xdr:colOff>
      <xdr:row>34</xdr:row>
      <xdr:rowOff>28575</xdr:rowOff>
    </xdr:to>
    <xdr:sp macro="[0]!Sheet2.HURows">
      <xdr:nvSpPr>
        <xdr:cNvPr id="9" name="Rounded Rectangle 9">
          <a:hlinkClick r:id="rId8"/>
        </xdr:cNvPr>
        <xdr:cNvSpPr>
          <a:spLocks/>
        </xdr:cNvSpPr>
      </xdr:nvSpPr>
      <xdr:spPr>
        <a:xfrm>
          <a:off x="7181850" y="73247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24</xdr:col>
      <xdr:colOff>0</xdr:colOff>
      <xdr:row>34</xdr:row>
      <xdr:rowOff>123825</xdr:rowOff>
    </xdr:from>
    <xdr:to>
      <xdr:col>26</xdr:col>
      <xdr:colOff>438150</xdr:colOff>
      <xdr:row>36</xdr:row>
      <xdr:rowOff>95250</xdr:rowOff>
    </xdr:to>
    <xdr:sp macro="[0]!Sheet2.HURows">
      <xdr:nvSpPr>
        <xdr:cNvPr id="10" name="Rounded Rectangle 10">
          <a:hlinkClick r:id="rId9"/>
        </xdr:cNvPr>
        <xdr:cNvSpPr>
          <a:spLocks/>
        </xdr:cNvSpPr>
      </xdr:nvSpPr>
      <xdr:spPr>
        <a:xfrm>
          <a:off x="7181850" y="77724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24</xdr:col>
      <xdr:colOff>0</xdr:colOff>
      <xdr:row>15</xdr:row>
      <xdr:rowOff>0</xdr:rowOff>
    </xdr:from>
    <xdr:to>
      <xdr:col>26</xdr:col>
      <xdr:colOff>438150</xdr:colOff>
      <xdr:row>16</xdr:row>
      <xdr:rowOff>161925</xdr:rowOff>
    </xdr:to>
    <xdr:sp macro="[0]!Sheet2.HURows">
      <xdr:nvSpPr>
        <xdr:cNvPr id="11" name="Rounded Rectangle 11">
          <a:hlinkClick r:id="rId10"/>
        </xdr:cNvPr>
        <xdr:cNvSpPr>
          <a:spLocks/>
        </xdr:cNvSpPr>
      </xdr:nvSpPr>
      <xdr:spPr>
        <a:xfrm>
          <a:off x="7181850" y="38195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badi.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CM197"/>
  <sheetViews>
    <sheetView showGridLines="0" showRowColHeaders="0" tabSelected="1" zoomScale="85" zoomScaleNormal="85" workbookViewId="0" topLeftCell="E2">
      <selection activeCell="Z7" sqref="Z7"/>
    </sheetView>
  </sheetViews>
  <sheetFormatPr defaultColWidth="9.140625" defaultRowHeight="15"/>
  <cols>
    <col min="1" max="2" width="3.421875" style="176" hidden="1" customWidth="1"/>
    <col min="3" max="3" width="2.00390625" style="176" customWidth="1"/>
    <col min="4" max="4" width="8.57421875" style="176" customWidth="1"/>
    <col min="5" max="9" width="9.140625" style="176" customWidth="1"/>
    <col min="10" max="10" width="11.7109375" style="176" bestFit="1" customWidth="1"/>
    <col min="11" max="17" width="9.140625" style="176" customWidth="1"/>
    <col min="18" max="18" width="9.7109375" style="176" customWidth="1"/>
    <col min="19" max="19" width="1.8515625" style="176" customWidth="1"/>
    <col min="20" max="21" width="9.140625" style="176" customWidth="1"/>
    <col min="22" max="22" width="9.421875" style="176" bestFit="1" customWidth="1"/>
    <col min="23" max="23" width="12.7109375" style="176" customWidth="1"/>
    <col min="24" max="24" width="28.00390625" style="176" bestFit="1" customWidth="1"/>
    <col min="25" max="25" width="12.28125" style="176" bestFit="1" customWidth="1"/>
    <col min="26" max="26" width="24.7109375" style="176" bestFit="1" customWidth="1"/>
    <col min="27" max="27" width="16.421875" style="176" customWidth="1"/>
    <col min="28" max="28" width="50.28125" style="176" customWidth="1"/>
    <col min="29" max="29" width="18.57421875" style="176" bestFit="1" customWidth="1"/>
    <col min="30" max="30" width="17.140625" style="176" bestFit="1" customWidth="1"/>
    <col min="31" max="31" width="13.421875" style="176" bestFit="1" customWidth="1"/>
    <col min="32" max="32" width="26.421875" style="176" bestFit="1" customWidth="1"/>
    <col min="33" max="34" width="17.7109375" style="176" bestFit="1" customWidth="1"/>
    <col min="35" max="35" width="8.00390625" style="176" bestFit="1" customWidth="1"/>
    <col min="36" max="36" width="19.421875" style="176" bestFit="1" customWidth="1"/>
    <col min="37" max="37" width="9.421875" style="176" bestFit="1" customWidth="1"/>
    <col min="38" max="38" width="6.57421875" style="176" bestFit="1" customWidth="1"/>
    <col min="39" max="39" width="21.7109375" style="176" bestFit="1" customWidth="1"/>
    <col min="40" max="40" width="8.140625" style="176" bestFit="1" customWidth="1"/>
    <col min="41" max="41" width="8.00390625" style="176" bestFit="1" customWidth="1"/>
    <col min="42" max="42" width="11.57421875" style="176" bestFit="1" customWidth="1"/>
    <col min="43" max="43" width="14.421875" style="176" bestFit="1" customWidth="1"/>
    <col min="44" max="44" width="6.8515625" style="176" bestFit="1" customWidth="1"/>
    <col min="45" max="45" width="4.7109375" style="176" bestFit="1" customWidth="1"/>
    <col min="46" max="46" width="15.140625" style="176" bestFit="1" customWidth="1"/>
    <col min="47" max="47" width="7.7109375" style="176" bestFit="1" customWidth="1"/>
    <col min="48" max="49" width="7.00390625" style="176" bestFit="1" customWidth="1"/>
    <col min="50" max="50" width="9.140625" style="176" hidden="1" customWidth="1"/>
    <col min="51" max="51" width="17.28125" style="176" bestFit="1" customWidth="1"/>
    <col min="52" max="52" width="9.57421875" style="176" customWidth="1"/>
    <col min="53" max="53" width="9.7109375" style="176" bestFit="1" customWidth="1"/>
    <col min="54" max="54" width="9.140625" style="176" hidden="1" customWidth="1"/>
    <col min="55" max="55" width="14.00390625" style="176" bestFit="1" customWidth="1"/>
    <col min="56" max="56" width="14.140625" style="176" bestFit="1" customWidth="1"/>
    <col min="57" max="57" width="9.140625" style="176" hidden="1" customWidth="1"/>
    <col min="58" max="58" width="6.421875" style="176" bestFit="1" customWidth="1"/>
    <col min="59" max="59" width="16.8515625" style="176" bestFit="1" customWidth="1"/>
    <col min="60" max="60" width="14.140625" style="176" bestFit="1" customWidth="1"/>
    <col min="61" max="61" width="10.00390625" style="176" hidden="1" customWidth="1"/>
    <col min="62" max="62" width="9.140625" style="176" hidden="1" customWidth="1"/>
    <col min="63" max="63" width="14.421875" style="176" hidden="1" customWidth="1"/>
    <col min="64" max="64" width="26.28125" style="176" hidden="1" customWidth="1"/>
    <col min="65" max="66" width="9.140625" style="176" hidden="1" customWidth="1"/>
    <col min="67" max="67" width="7.140625" style="176" hidden="1" customWidth="1"/>
    <col min="68" max="68" width="7.28125" style="176" hidden="1" customWidth="1"/>
    <col min="69" max="69" width="14.140625" style="176" hidden="1" customWidth="1"/>
    <col min="70" max="70" width="10.7109375" style="176" hidden="1" customWidth="1"/>
    <col min="71" max="71" width="9.140625" style="176" hidden="1" customWidth="1"/>
    <col min="72" max="72" width="22.7109375" style="176" hidden="1" customWidth="1"/>
    <col min="73" max="73" width="7.28125" style="176" hidden="1" customWidth="1"/>
    <col min="74" max="74" width="14.140625" style="176" hidden="1" customWidth="1"/>
    <col min="75" max="75" width="10.7109375" style="176" hidden="1" customWidth="1"/>
    <col min="76" max="76" width="5.421875" style="176" hidden="1" customWidth="1"/>
    <col min="77" max="77" width="7.140625" style="176" hidden="1" customWidth="1"/>
    <col min="78" max="78" width="3.8515625" style="176" hidden="1" customWidth="1"/>
    <col min="79" max="79" width="14.140625" style="176" hidden="1" customWidth="1"/>
    <col min="80" max="80" width="10.7109375" style="176" hidden="1" customWidth="1"/>
    <col min="81" max="81" width="9.140625" style="176" hidden="1" customWidth="1"/>
    <col min="82" max="82" width="3.8515625" style="176" hidden="1" customWidth="1"/>
    <col min="83" max="83" width="18.28125" style="176" hidden="1" customWidth="1"/>
    <col min="84" max="84" width="2.57421875" style="176" hidden="1" customWidth="1"/>
    <col min="85" max="85" width="11.8515625" style="176" hidden="1" customWidth="1"/>
    <col min="86" max="87" width="9.140625" style="176" hidden="1" customWidth="1"/>
    <col min="88" max="88" width="5.140625" style="176" hidden="1" customWidth="1"/>
    <col min="89" max="89" width="7.28125" style="176" hidden="1" customWidth="1"/>
    <col min="90" max="90" width="2.57421875" style="176" hidden="1" customWidth="1"/>
    <col min="91" max="91" width="15.8515625" style="176" hidden="1" customWidth="1"/>
    <col min="92" max="94" width="9.140625" style="176" hidden="1" customWidth="1"/>
    <col min="95" max="95" width="0" style="176" hidden="1" customWidth="1"/>
    <col min="96" max="16384" width="9.140625" style="176" customWidth="1"/>
  </cols>
  <sheetData>
    <row r="1" ht="19.5" hidden="1" thickBot="1"/>
    <row r="2" spans="3:24" ht="35.25" customHeight="1" thickBot="1" thickTop="1">
      <c r="C2" s="425"/>
      <c r="D2" s="426"/>
      <c r="E2" s="426"/>
      <c r="F2" s="426"/>
      <c r="G2" s="426"/>
      <c r="H2" s="426"/>
      <c r="I2" s="426"/>
      <c r="J2" s="426"/>
      <c r="K2" s="426"/>
      <c r="L2" s="426"/>
      <c r="M2" s="426"/>
      <c r="N2" s="426"/>
      <c r="O2" s="426"/>
      <c r="P2" s="426"/>
      <c r="Q2" s="426"/>
      <c r="R2" s="426"/>
      <c r="S2" s="427"/>
      <c r="T2" s="422"/>
      <c r="U2" s="423"/>
      <c r="V2" s="423"/>
      <c r="W2" s="424"/>
      <c r="X2" s="287"/>
    </row>
    <row r="3" spans="1:24" ht="38.25" customHeight="1" thickBot="1" thickTop="1">
      <c r="A3" s="176" t="str">
        <f>"PRC-2015 Arrearrs of "&amp;Data!G6&amp;","</f>
        <v>PRC-2015 Arrearrs of Sri S Nithin,</v>
      </c>
      <c r="C3" s="431"/>
      <c r="D3" s="428" t="s">
        <v>738</v>
      </c>
      <c r="E3" s="428"/>
      <c r="F3" s="428"/>
      <c r="G3" s="428"/>
      <c r="H3" s="428"/>
      <c r="I3" s="428"/>
      <c r="J3" s="428"/>
      <c r="K3" s="428"/>
      <c r="L3" s="428"/>
      <c r="M3" s="428"/>
      <c r="N3" s="428"/>
      <c r="O3" s="428"/>
      <c r="P3" s="428"/>
      <c r="Q3" s="428"/>
      <c r="R3" s="428"/>
      <c r="S3" s="429"/>
      <c r="T3" s="433" t="str">
        <f>"Welcome to "&amp;G6</f>
        <v>Welcome to Sri S Nithin</v>
      </c>
      <c r="U3" s="434"/>
      <c r="V3" s="434"/>
      <c r="W3" s="435"/>
      <c r="X3" s="288"/>
    </row>
    <row r="4" spans="3:24" ht="6.75" customHeight="1" hidden="1" thickBot="1" thickTop="1">
      <c r="C4" s="432"/>
      <c r="D4" s="177"/>
      <c r="E4" s="177"/>
      <c r="F4" s="177"/>
      <c r="G4" s="177"/>
      <c r="H4" s="177"/>
      <c r="I4" s="177"/>
      <c r="J4" s="177"/>
      <c r="K4" s="177"/>
      <c r="L4" s="177"/>
      <c r="M4" s="177"/>
      <c r="N4" s="177"/>
      <c r="O4" s="177"/>
      <c r="P4" s="177"/>
      <c r="Q4" s="177"/>
      <c r="R4" s="177"/>
      <c r="S4" s="430"/>
      <c r="T4" s="436" t="str">
        <f>IF(Data!AG57&lt;&gt;15,Data!AH57,Data!AB53)&amp;", "&amp;Data!G7&amp;", "&amp;Data!L7&amp;" "&amp;"Mandal, "&amp;Data!P7&amp;" District."</f>
        <v>SA(Hin), M.D Mangalam, G D Nellore Mandal, Karimnagar District.</v>
      </c>
      <c r="U4" s="437"/>
      <c r="V4" s="437"/>
      <c r="W4" s="438"/>
      <c r="X4" s="288"/>
    </row>
    <row r="5" spans="3:24" s="258" customFormat="1" ht="24" customHeight="1" thickTop="1">
      <c r="C5" s="432"/>
      <c r="D5" s="475" t="s">
        <v>664</v>
      </c>
      <c r="E5" s="475"/>
      <c r="F5" s="475"/>
      <c r="G5" s="475"/>
      <c r="H5" s="475"/>
      <c r="I5" s="475"/>
      <c r="J5" s="475"/>
      <c r="K5" s="475"/>
      <c r="L5" s="475"/>
      <c r="M5" s="475"/>
      <c r="N5" s="475"/>
      <c r="O5" s="475"/>
      <c r="P5" s="475"/>
      <c r="Q5" s="475"/>
      <c r="R5" s="475"/>
      <c r="S5" s="430"/>
      <c r="T5" s="436"/>
      <c r="U5" s="437"/>
      <c r="V5" s="437"/>
      <c r="W5" s="438"/>
      <c r="X5" s="288"/>
    </row>
    <row r="6" spans="3:24" ht="25.5" customHeight="1">
      <c r="C6" s="178"/>
      <c r="D6" s="497" t="s">
        <v>0</v>
      </c>
      <c r="E6" s="498"/>
      <c r="F6" s="498"/>
      <c r="G6" s="474" t="s">
        <v>693</v>
      </c>
      <c r="H6" s="474"/>
      <c r="I6" s="474"/>
      <c r="J6" s="474"/>
      <c r="K6" s="483" t="s">
        <v>140</v>
      </c>
      <c r="L6" s="483"/>
      <c r="M6" s="483"/>
      <c r="N6" s="483"/>
      <c r="O6" s="499" t="s">
        <v>151</v>
      </c>
      <c r="P6" s="499"/>
      <c r="Q6" s="499"/>
      <c r="R6" s="179"/>
      <c r="S6" s="180"/>
      <c r="T6" s="436"/>
      <c r="U6" s="437"/>
      <c r="V6" s="437"/>
      <c r="W6" s="438"/>
      <c r="X6" s="288"/>
    </row>
    <row r="7" spans="3:24" ht="25.5" customHeight="1">
      <c r="C7" s="178"/>
      <c r="D7" s="482" t="s">
        <v>162</v>
      </c>
      <c r="E7" s="483"/>
      <c r="F7" s="483"/>
      <c r="G7" s="474" t="s">
        <v>601</v>
      </c>
      <c r="H7" s="474"/>
      <c r="I7" s="474"/>
      <c r="J7" s="474"/>
      <c r="K7" s="161" t="s">
        <v>10</v>
      </c>
      <c r="L7" s="474" t="s">
        <v>26</v>
      </c>
      <c r="M7" s="474"/>
      <c r="N7" s="474"/>
      <c r="O7" s="161" t="s">
        <v>11</v>
      </c>
      <c r="P7" s="509" t="s">
        <v>622</v>
      </c>
      <c r="Q7" s="510"/>
      <c r="R7" s="511"/>
      <c r="S7" s="180"/>
      <c r="T7" s="162" t="str">
        <f>"Option date basic is pay Rs: "&amp;Data!AA121&amp;"/-"</f>
        <v>Option date basic is pay Rs: 18520/-</v>
      </c>
      <c r="U7" s="163"/>
      <c r="V7" s="163"/>
      <c r="W7" s="164"/>
      <c r="X7" s="288"/>
    </row>
    <row r="8" spans="3:24" ht="25.5" customHeight="1">
      <c r="C8" s="178"/>
      <c r="D8" s="513" t="s">
        <v>611</v>
      </c>
      <c r="E8" s="513"/>
      <c r="F8" s="497"/>
      <c r="G8" s="474">
        <v>1105438</v>
      </c>
      <c r="H8" s="474"/>
      <c r="I8" s="165"/>
      <c r="J8" s="470" t="s">
        <v>661</v>
      </c>
      <c r="K8" s="470"/>
      <c r="L8" s="470"/>
      <c r="M8" s="470"/>
      <c r="N8" s="470"/>
      <c r="O8" s="470"/>
      <c r="P8" s="470"/>
      <c r="Q8" s="470"/>
      <c r="R8" s="471"/>
      <c r="S8" s="180"/>
      <c r="T8" s="166" t="str">
        <f>"Your Pay fixed at : "&amp;Salary!C8&amp;" /-"</f>
        <v>Your Pay fixed at : 39160 /-</v>
      </c>
      <c r="U8" s="163"/>
      <c r="V8" s="163"/>
      <c r="W8" s="164"/>
      <c r="X8" s="288"/>
    </row>
    <row r="9" spans="3:24" ht="18" customHeight="1">
      <c r="C9" s="178"/>
      <c r="D9" s="473" t="s">
        <v>161</v>
      </c>
      <c r="E9" s="473"/>
      <c r="F9" s="473"/>
      <c r="G9" s="473"/>
      <c r="H9" s="473"/>
      <c r="I9" s="473"/>
      <c r="J9" s="473"/>
      <c r="K9" s="473"/>
      <c r="L9" s="473"/>
      <c r="M9" s="473"/>
      <c r="N9" s="473"/>
      <c r="O9" s="473"/>
      <c r="P9" s="473"/>
      <c r="Q9" s="473"/>
      <c r="R9" s="473"/>
      <c r="S9" s="180"/>
      <c r="T9" s="467" t="s">
        <v>610</v>
      </c>
      <c r="U9" s="468"/>
      <c r="V9" s="468"/>
      <c r="W9" s="469"/>
      <c r="X9" s="288"/>
    </row>
    <row r="10" spans="3:24" ht="25.5" customHeight="1">
      <c r="C10" s="178"/>
      <c r="D10" s="167" t="s">
        <v>12</v>
      </c>
      <c r="E10" s="161"/>
      <c r="F10" s="181"/>
      <c r="G10" s="181"/>
      <c r="H10" s="168"/>
      <c r="I10" s="167" t="s">
        <v>27</v>
      </c>
      <c r="J10" s="161"/>
      <c r="K10" s="161"/>
      <c r="L10" s="161"/>
      <c r="M10" s="181" t="s">
        <v>65</v>
      </c>
      <c r="N10" s="161"/>
      <c r="O10" s="332">
        <v>50</v>
      </c>
      <c r="P10" s="161" t="s">
        <v>730</v>
      </c>
      <c r="Q10" s="332">
        <v>35</v>
      </c>
      <c r="R10" s="182"/>
      <c r="S10" s="180"/>
      <c r="T10" s="500" t="str">
        <f>appendix!M54&amp;",  Due to "&amp;appendix!T54&amp;" Rs. "&amp;appendix!Q54&amp;"/-"&amp;CHAR(10)&amp;"  "&amp;appendix!M55&amp;", Due to "&amp;appendix!T55&amp;" Rs:"&amp;appendix!Q55&amp;"/-"&amp;CHAR(10)&amp;"  "&amp;IF(appendix!M55="","",appendix!M56&amp;", Due to    "&amp;appendix!T56&amp;" Rs:"&amp;appendix!Q56&amp;"/-")&amp;CHAR(10)&amp;"  "&amp;IF(appendix!M57="","www.apteacher.ner",appendix!M57&amp;", Due to "&amp;appendix!T57&amp;" Rs:"&amp;appendix!Q57&amp;"/-")</f>
        <v>1-Nov-2013,  Due to Increment Rs. 40270/-
  1-Nov-2014, Due to Increment Rs:41380/-
  30-Jan-2015, Due to     Rs:41380/-
  14-Feb-2015, Due to  Rs:41380/-</v>
      </c>
      <c r="U10" s="501"/>
      <c r="V10" s="501"/>
      <c r="W10" s="502"/>
      <c r="X10" s="288"/>
    </row>
    <row r="11" spans="3:24" ht="25.5" customHeight="1">
      <c r="C11" s="178"/>
      <c r="D11" s="167" t="s">
        <v>54</v>
      </c>
      <c r="E11" s="181"/>
      <c r="F11" s="161" t="s">
        <v>57</v>
      </c>
      <c r="G11" s="183"/>
      <c r="H11" s="512" t="s">
        <v>154</v>
      </c>
      <c r="I11" s="513"/>
      <c r="J11" s="497"/>
      <c r="K11" s="181"/>
      <c r="L11" s="181"/>
      <c r="M11" s="181"/>
      <c r="N11" s="168" t="s">
        <v>669</v>
      </c>
      <c r="O11" s="267"/>
      <c r="P11" s="476">
        <v>254030</v>
      </c>
      <c r="Q11" s="477"/>
      <c r="R11" s="478"/>
      <c r="S11" s="180"/>
      <c r="T11" s="500"/>
      <c r="U11" s="501"/>
      <c r="V11" s="501"/>
      <c r="W11" s="502"/>
      <c r="X11" s="288"/>
    </row>
    <row r="12" spans="3:24" ht="25.5" customHeight="1">
      <c r="C12" s="178"/>
      <c r="D12" s="415" t="s">
        <v>80</v>
      </c>
      <c r="E12" s="442"/>
      <c r="F12" s="181"/>
      <c r="G12" s="181"/>
      <c r="H12" s="515" t="s">
        <v>163</v>
      </c>
      <c r="I12" s="415"/>
      <c r="J12" s="442"/>
      <c r="K12" s="181"/>
      <c r="L12" s="181"/>
      <c r="M12" s="181"/>
      <c r="N12" s="181" t="s">
        <v>122</v>
      </c>
      <c r="O12" s="181"/>
      <c r="P12" s="181"/>
      <c r="Q12" s="181"/>
      <c r="R12" s="182"/>
      <c r="S12" s="180"/>
      <c r="T12" s="500"/>
      <c r="U12" s="501"/>
      <c r="V12" s="501"/>
      <c r="W12" s="502"/>
      <c r="X12" s="288"/>
    </row>
    <row r="13" spans="3:24" ht="25.5" customHeight="1" thickBot="1">
      <c r="C13" s="178"/>
      <c r="D13" s="516" t="s">
        <v>141</v>
      </c>
      <c r="E13" s="516"/>
      <c r="F13" s="516"/>
      <c r="G13" s="184"/>
      <c r="H13" s="185"/>
      <c r="I13" s="512" t="s">
        <v>547</v>
      </c>
      <c r="J13" s="497"/>
      <c r="K13" s="159">
        <v>330</v>
      </c>
      <c r="L13" s="479"/>
      <c r="M13" s="480"/>
      <c r="N13" s="480"/>
      <c r="O13" s="480"/>
      <c r="P13" s="481"/>
      <c r="Q13" s="169" t="s">
        <v>131</v>
      </c>
      <c r="R13" s="186"/>
      <c r="S13" s="180"/>
      <c r="T13" s="503"/>
      <c r="U13" s="504"/>
      <c r="V13" s="504"/>
      <c r="W13" s="505"/>
      <c r="X13" s="288"/>
    </row>
    <row r="14" spans="3:24" ht="17.25" customHeight="1" thickTop="1">
      <c r="C14" s="178"/>
      <c r="D14" s="485" t="s">
        <v>58</v>
      </c>
      <c r="E14" s="485"/>
      <c r="F14" s="485"/>
      <c r="G14" s="472"/>
      <c r="H14" s="472"/>
      <c r="I14" s="472"/>
      <c r="J14" s="472"/>
      <c r="K14" s="486" t="s">
        <v>725</v>
      </c>
      <c r="L14" s="487"/>
      <c r="M14" s="487"/>
      <c r="N14" s="487"/>
      <c r="O14" s="487"/>
      <c r="P14" s="487"/>
      <c r="Q14" s="487"/>
      <c r="R14" s="488"/>
      <c r="S14" s="180"/>
      <c r="T14" s="506" t="s">
        <v>612</v>
      </c>
      <c r="U14" s="507"/>
      <c r="V14" s="507"/>
      <c r="W14" s="508"/>
      <c r="X14" s="288"/>
    </row>
    <row r="15" spans="3:24" ht="21" customHeight="1">
      <c r="C15" s="178"/>
      <c r="D15" s="495" t="s">
        <v>59</v>
      </c>
      <c r="E15" s="496"/>
      <c r="F15" s="291" t="s">
        <v>167</v>
      </c>
      <c r="G15" s="187" t="s">
        <v>168</v>
      </c>
      <c r="H15" s="291"/>
      <c r="I15" s="517">
        <f>Data!AA121</f>
        <v>18520</v>
      </c>
      <c r="J15" s="517"/>
      <c r="K15" s="489"/>
      <c r="L15" s="490"/>
      <c r="M15" s="490"/>
      <c r="N15" s="490"/>
      <c r="O15" s="490"/>
      <c r="P15" s="490"/>
      <c r="Q15" s="490"/>
      <c r="R15" s="491"/>
      <c r="S15" s="180"/>
      <c r="T15" s="170" t="str">
        <f>"Part I Notional Arrears : Rs . "&amp;Salary!AL23&amp;"/-"</f>
        <v>Part I Notional Arrears : Rs . 122892/-</v>
      </c>
      <c r="U15" s="171"/>
      <c r="V15" s="171"/>
      <c r="W15" s="172"/>
      <c r="X15" s="288"/>
    </row>
    <row r="16" spans="3:24" ht="27" customHeight="1">
      <c r="C16" s="178"/>
      <c r="I16" s="448">
        <f>AI123</f>
        <v>19050</v>
      </c>
      <c r="J16" s="449"/>
      <c r="K16" s="489"/>
      <c r="L16" s="490"/>
      <c r="M16" s="490"/>
      <c r="N16" s="490"/>
      <c r="O16" s="490"/>
      <c r="P16" s="490"/>
      <c r="Q16" s="490"/>
      <c r="R16" s="491"/>
      <c r="S16" s="180"/>
      <c r="T16" s="170" t="str">
        <f>"Part II Monetory Benefit : Rs. "&amp;Salary!AL37&amp;"/-"</f>
        <v>Part II Monetory Benefit : Rs. 83164/-</v>
      </c>
      <c r="U16" s="171"/>
      <c r="V16" s="171"/>
      <c r="W16" s="172"/>
      <c r="X16" s="288"/>
    </row>
    <row r="17" spans="3:24" ht="27" customHeight="1" thickBot="1">
      <c r="C17" s="178"/>
      <c r="I17" s="448">
        <f>AI124</f>
        <v>19580</v>
      </c>
      <c r="J17" s="449"/>
      <c r="K17" s="489"/>
      <c r="L17" s="490"/>
      <c r="M17" s="490"/>
      <c r="N17" s="490"/>
      <c r="O17" s="490"/>
      <c r="P17" s="490"/>
      <c r="Q17" s="490"/>
      <c r="R17" s="491"/>
      <c r="S17" s="180"/>
      <c r="T17" s="173" t="str">
        <f>"Part III Cash Benefit Rs. "&amp;Salary!AL47&amp;"/-"</f>
        <v>Part III Cash Benefit Rs. 16316/-</v>
      </c>
      <c r="U17" s="174"/>
      <c r="V17" s="174"/>
      <c r="W17" s="175"/>
      <c r="X17" s="288"/>
    </row>
    <row r="18" spans="3:24" ht="27" customHeight="1" thickTop="1">
      <c r="C18" s="178"/>
      <c r="I18" s="448">
        <f>AI125</f>
        <v>19580</v>
      </c>
      <c r="J18" s="449"/>
      <c r="K18" s="489"/>
      <c r="L18" s="490"/>
      <c r="M18" s="490"/>
      <c r="N18" s="490"/>
      <c r="O18" s="490"/>
      <c r="P18" s="490"/>
      <c r="Q18" s="490"/>
      <c r="R18" s="491"/>
      <c r="S18" s="180"/>
      <c r="T18" s="281"/>
      <c r="U18" s="281"/>
      <c r="V18" s="282"/>
      <c r="W18" s="452"/>
      <c r="X18" s="288"/>
    </row>
    <row r="19" spans="3:24" ht="27" customHeight="1" thickBot="1">
      <c r="C19" s="178"/>
      <c r="I19" s="448">
        <f>AI126</f>
        <v>19580</v>
      </c>
      <c r="J19" s="449"/>
      <c r="K19" s="492"/>
      <c r="L19" s="493"/>
      <c r="M19" s="493"/>
      <c r="N19" s="493"/>
      <c r="O19" s="493"/>
      <c r="P19" s="493"/>
      <c r="Q19" s="493"/>
      <c r="R19" s="494"/>
      <c r="S19" s="180"/>
      <c r="T19" s="281"/>
      <c r="U19" s="281"/>
      <c r="V19" s="281"/>
      <c r="W19" s="453"/>
      <c r="X19" s="288"/>
    </row>
    <row r="20" spans="3:24" ht="27" customHeight="1" thickTop="1">
      <c r="C20" s="178"/>
      <c r="D20" s="461" t="s">
        <v>598</v>
      </c>
      <c r="E20" s="461"/>
      <c r="F20" s="461"/>
      <c r="G20" s="461"/>
      <c r="H20" s="461"/>
      <c r="I20" s="461"/>
      <c r="J20" s="461"/>
      <c r="K20" s="462"/>
      <c r="L20" s="462"/>
      <c r="M20" s="462"/>
      <c r="N20" s="462"/>
      <c r="O20" s="462"/>
      <c r="P20" s="462"/>
      <c r="Q20" s="462"/>
      <c r="R20" s="462"/>
      <c r="S20" s="180"/>
      <c r="T20" s="281"/>
      <c r="U20" s="281"/>
      <c r="V20" s="281"/>
      <c r="W20" s="453"/>
      <c r="X20" s="288"/>
    </row>
    <row r="21" spans="3:24" ht="27" customHeight="1">
      <c r="C21" s="178"/>
      <c r="D21" s="415" t="s">
        <v>425</v>
      </c>
      <c r="E21" s="442"/>
      <c r="F21" s="446" t="s">
        <v>599</v>
      </c>
      <c r="G21" s="447"/>
      <c r="H21" s="484"/>
      <c r="I21" s="415" t="s">
        <v>602</v>
      </c>
      <c r="J21" s="442"/>
      <c r="K21" s="160" t="s">
        <v>603</v>
      </c>
      <c r="L21" s="450" t="s">
        <v>604</v>
      </c>
      <c r="M21" s="450"/>
      <c r="N21" s="450"/>
      <c r="O21" s="446" t="s">
        <v>699</v>
      </c>
      <c r="P21" s="447"/>
      <c r="Q21" s="447"/>
      <c r="R21" s="451"/>
      <c r="S21" s="180"/>
      <c r="T21" s="281"/>
      <c r="U21" s="281"/>
      <c r="V21" s="281"/>
      <c r="W21" s="453"/>
      <c r="X21" s="288"/>
    </row>
    <row r="22" spans="3:24" ht="27" customHeight="1">
      <c r="C22" s="178"/>
      <c r="D22" s="415" t="s">
        <v>611</v>
      </c>
      <c r="E22" s="442"/>
      <c r="F22" s="446">
        <v>1105263</v>
      </c>
      <c r="G22" s="447"/>
      <c r="H22" s="415" t="s">
        <v>605</v>
      </c>
      <c r="I22" s="442"/>
      <c r="J22" s="446" t="s">
        <v>606</v>
      </c>
      <c r="K22" s="447"/>
      <c r="L22" s="447"/>
      <c r="M22" s="415" t="s">
        <v>608</v>
      </c>
      <c r="N22" s="442"/>
      <c r="O22" s="446" t="s">
        <v>607</v>
      </c>
      <c r="P22" s="447"/>
      <c r="Q22" s="447"/>
      <c r="R22" s="451"/>
      <c r="S22" s="180"/>
      <c r="T22" s="281"/>
      <c r="U22" s="281"/>
      <c r="V22" s="281"/>
      <c r="W22" s="453"/>
      <c r="X22" s="288"/>
    </row>
    <row r="23" spans="3:24" ht="27" customHeight="1">
      <c r="C23" s="178"/>
      <c r="D23" s="443" t="s">
        <v>720</v>
      </c>
      <c r="E23" s="444"/>
      <c r="F23" s="445"/>
      <c r="G23" s="463" t="s">
        <v>655</v>
      </c>
      <c r="H23" s="464"/>
      <c r="I23" s="464"/>
      <c r="J23" s="464"/>
      <c r="K23" s="464"/>
      <c r="L23" s="465" t="s">
        <v>660</v>
      </c>
      <c r="M23" s="466"/>
      <c r="N23" s="466"/>
      <c r="O23" s="415" t="s">
        <v>618</v>
      </c>
      <c r="P23" s="415"/>
      <c r="Q23" s="415"/>
      <c r="S23" s="180"/>
      <c r="T23" s="281"/>
      <c r="U23" s="281"/>
      <c r="V23" s="281"/>
      <c r="W23" s="453"/>
      <c r="X23" s="288"/>
    </row>
    <row r="24" spans="3:24" ht="27" customHeight="1" thickBot="1">
      <c r="C24" s="178"/>
      <c r="D24" s="278"/>
      <c r="E24" s="279"/>
      <c r="F24" s="279"/>
      <c r="G24" s="279"/>
      <c r="H24" s="279"/>
      <c r="I24" s="279"/>
      <c r="J24" s="279"/>
      <c r="K24" s="279"/>
      <c r="L24" s="279"/>
      <c r="M24" s="279"/>
      <c r="N24" s="279"/>
      <c r="O24" s="514" t="s">
        <v>619</v>
      </c>
      <c r="P24" s="514"/>
      <c r="Q24" s="514"/>
      <c r="R24" s="514"/>
      <c r="S24" s="180"/>
      <c r="T24" s="281"/>
      <c r="U24" s="281"/>
      <c r="V24" s="281"/>
      <c r="W24" s="453"/>
      <c r="X24" s="288"/>
    </row>
    <row r="25" spans="3:24" ht="12.75" customHeight="1" thickBot="1" thickTop="1">
      <c r="C25" s="177"/>
      <c r="D25" s="177"/>
      <c r="E25" s="177"/>
      <c r="F25" s="177"/>
      <c r="G25" s="177"/>
      <c r="H25" s="177"/>
      <c r="I25" s="177"/>
      <c r="J25" s="177"/>
      <c r="K25" s="177"/>
      <c r="L25" s="177"/>
      <c r="M25" s="177"/>
      <c r="N25" s="177"/>
      <c r="O25" s="177"/>
      <c r="P25" s="177"/>
      <c r="Q25" s="177"/>
      <c r="R25" s="177"/>
      <c r="S25" s="177"/>
      <c r="T25" s="455" t="s">
        <v>621</v>
      </c>
      <c r="U25" s="456"/>
      <c r="V25" s="456"/>
      <c r="W25" s="453"/>
      <c r="X25" s="288"/>
    </row>
    <row r="26" spans="3:24" ht="27" customHeight="1" thickBot="1" thickTop="1">
      <c r="C26" s="416" t="s">
        <v>620</v>
      </c>
      <c r="D26" s="416"/>
      <c r="E26" s="416"/>
      <c r="F26" s="416"/>
      <c r="G26" s="416"/>
      <c r="H26" s="416"/>
      <c r="I26" s="416"/>
      <c r="J26" s="416"/>
      <c r="K26" s="416"/>
      <c r="L26" s="416"/>
      <c r="M26" s="416"/>
      <c r="N26" s="416"/>
      <c r="O26" s="416"/>
      <c r="P26" s="416"/>
      <c r="Q26" s="416"/>
      <c r="R26" s="416"/>
      <c r="S26" s="417"/>
      <c r="T26" s="457"/>
      <c r="U26" s="458"/>
      <c r="V26" s="458"/>
      <c r="W26" s="453"/>
      <c r="X26" s="289"/>
    </row>
    <row r="27" spans="3:24" ht="27" customHeight="1" hidden="1" thickTop="1">
      <c r="C27" s="418"/>
      <c r="D27" s="418"/>
      <c r="E27" s="418"/>
      <c r="F27" s="418"/>
      <c r="G27" s="418"/>
      <c r="H27" s="418"/>
      <c r="I27" s="418"/>
      <c r="J27" s="418"/>
      <c r="K27" s="418"/>
      <c r="L27" s="418"/>
      <c r="M27" s="418"/>
      <c r="N27" s="418"/>
      <c r="O27" s="418"/>
      <c r="P27" s="418"/>
      <c r="Q27" s="418"/>
      <c r="R27" s="418"/>
      <c r="S27" s="419"/>
      <c r="T27" s="457"/>
      <c r="U27" s="458"/>
      <c r="V27" s="458"/>
      <c r="W27" s="453"/>
      <c r="X27" s="287"/>
    </row>
    <row r="28" spans="3:24" ht="27" customHeight="1" hidden="1">
      <c r="C28" s="418"/>
      <c r="D28" s="418"/>
      <c r="E28" s="418"/>
      <c r="F28" s="418"/>
      <c r="G28" s="418"/>
      <c r="H28" s="418"/>
      <c r="I28" s="418"/>
      <c r="J28" s="418"/>
      <c r="K28" s="418"/>
      <c r="L28" s="418"/>
      <c r="M28" s="418"/>
      <c r="N28" s="418"/>
      <c r="O28" s="418"/>
      <c r="P28" s="418"/>
      <c r="Q28" s="418"/>
      <c r="R28" s="418"/>
      <c r="S28" s="419"/>
      <c r="T28" s="457"/>
      <c r="U28" s="458"/>
      <c r="V28" s="458"/>
      <c r="W28" s="453"/>
      <c r="X28" s="288"/>
    </row>
    <row r="29" spans="3:24" ht="27" customHeight="1" hidden="1">
      <c r="C29" s="418"/>
      <c r="D29" s="418"/>
      <c r="E29" s="418"/>
      <c r="F29" s="418"/>
      <c r="G29" s="418"/>
      <c r="H29" s="418"/>
      <c r="I29" s="418"/>
      <c r="J29" s="418"/>
      <c r="K29" s="418"/>
      <c r="L29" s="418"/>
      <c r="M29" s="418"/>
      <c r="N29" s="418"/>
      <c r="O29" s="418"/>
      <c r="P29" s="418"/>
      <c r="Q29" s="418"/>
      <c r="R29" s="418"/>
      <c r="S29" s="419"/>
      <c r="T29" s="457"/>
      <c r="U29" s="458"/>
      <c r="V29" s="458"/>
      <c r="W29" s="453"/>
      <c r="X29" s="288"/>
    </row>
    <row r="30" spans="3:24" ht="27" customHeight="1" hidden="1">
      <c r="C30" s="418"/>
      <c r="D30" s="418"/>
      <c r="E30" s="418"/>
      <c r="F30" s="418"/>
      <c r="G30" s="418"/>
      <c r="H30" s="418"/>
      <c r="I30" s="418"/>
      <c r="J30" s="418"/>
      <c r="K30" s="418"/>
      <c r="L30" s="418"/>
      <c r="M30" s="418"/>
      <c r="N30" s="418"/>
      <c r="O30" s="418"/>
      <c r="P30" s="418"/>
      <c r="Q30" s="418"/>
      <c r="R30" s="418"/>
      <c r="S30" s="419"/>
      <c r="T30" s="457"/>
      <c r="U30" s="458"/>
      <c r="V30" s="458"/>
      <c r="W30" s="453"/>
      <c r="X30" s="288"/>
    </row>
    <row r="31" spans="3:24" ht="27" customHeight="1" hidden="1">
      <c r="C31" s="418"/>
      <c r="D31" s="418"/>
      <c r="E31" s="418"/>
      <c r="F31" s="418"/>
      <c r="G31" s="418"/>
      <c r="H31" s="418"/>
      <c r="I31" s="418"/>
      <c r="J31" s="418"/>
      <c r="K31" s="418"/>
      <c r="L31" s="418"/>
      <c r="M31" s="418"/>
      <c r="N31" s="418"/>
      <c r="O31" s="418"/>
      <c r="P31" s="418"/>
      <c r="Q31" s="418"/>
      <c r="R31" s="418"/>
      <c r="S31" s="419"/>
      <c r="T31" s="457"/>
      <c r="U31" s="458"/>
      <c r="V31" s="458"/>
      <c r="W31" s="453"/>
      <c r="X31" s="288"/>
    </row>
    <row r="32" spans="3:24" ht="27" customHeight="1" hidden="1">
      <c r="C32" s="418"/>
      <c r="D32" s="418"/>
      <c r="E32" s="418"/>
      <c r="F32" s="418"/>
      <c r="G32" s="418"/>
      <c r="H32" s="418"/>
      <c r="I32" s="418"/>
      <c r="J32" s="418"/>
      <c r="K32" s="418"/>
      <c r="L32" s="418"/>
      <c r="M32" s="418"/>
      <c r="N32" s="418"/>
      <c r="O32" s="418"/>
      <c r="P32" s="418"/>
      <c r="Q32" s="418"/>
      <c r="R32" s="418"/>
      <c r="S32" s="419"/>
      <c r="T32" s="457"/>
      <c r="U32" s="458"/>
      <c r="V32" s="458"/>
      <c r="W32" s="453"/>
      <c r="X32" s="288"/>
    </row>
    <row r="33" spans="3:24" ht="27" customHeight="1" hidden="1">
      <c r="C33" s="418"/>
      <c r="D33" s="418"/>
      <c r="E33" s="418"/>
      <c r="F33" s="418"/>
      <c r="G33" s="418"/>
      <c r="H33" s="418"/>
      <c r="I33" s="418"/>
      <c r="J33" s="418"/>
      <c r="K33" s="418"/>
      <c r="L33" s="418"/>
      <c r="M33" s="418"/>
      <c r="N33" s="418"/>
      <c r="O33" s="418"/>
      <c r="P33" s="418"/>
      <c r="Q33" s="418"/>
      <c r="R33" s="418"/>
      <c r="S33" s="419"/>
      <c r="T33" s="457"/>
      <c r="U33" s="458"/>
      <c r="V33" s="458"/>
      <c r="W33" s="453"/>
      <c r="X33" s="288"/>
    </row>
    <row r="34" spans="3:24" ht="27" customHeight="1" hidden="1">
      <c r="C34" s="418"/>
      <c r="D34" s="418"/>
      <c r="E34" s="418"/>
      <c r="F34" s="418"/>
      <c r="G34" s="418"/>
      <c r="H34" s="418"/>
      <c r="I34" s="418"/>
      <c r="J34" s="418"/>
      <c r="K34" s="418"/>
      <c r="L34" s="418"/>
      <c r="M34" s="418"/>
      <c r="N34" s="418"/>
      <c r="O34" s="418"/>
      <c r="P34" s="418"/>
      <c r="Q34" s="418"/>
      <c r="R34" s="418"/>
      <c r="S34" s="419"/>
      <c r="T34" s="457"/>
      <c r="U34" s="458"/>
      <c r="V34" s="458"/>
      <c r="W34" s="453"/>
      <c r="X34" s="288"/>
    </row>
    <row r="35" spans="3:24" ht="27" customHeight="1" hidden="1">
      <c r="C35" s="418"/>
      <c r="D35" s="418"/>
      <c r="E35" s="418"/>
      <c r="F35" s="418"/>
      <c r="G35" s="418"/>
      <c r="H35" s="418"/>
      <c r="I35" s="418"/>
      <c r="J35" s="418"/>
      <c r="K35" s="418"/>
      <c r="L35" s="418"/>
      <c r="M35" s="418"/>
      <c r="N35" s="418"/>
      <c r="O35" s="418"/>
      <c r="P35" s="418"/>
      <c r="Q35" s="418"/>
      <c r="R35" s="418"/>
      <c r="S35" s="419"/>
      <c r="T35" s="457"/>
      <c r="U35" s="458"/>
      <c r="V35" s="458"/>
      <c r="W35" s="453"/>
      <c r="X35" s="288"/>
    </row>
    <row r="36" spans="3:24" ht="27" customHeight="1" hidden="1">
      <c r="C36" s="418"/>
      <c r="D36" s="418"/>
      <c r="E36" s="418"/>
      <c r="F36" s="418"/>
      <c r="G36" s="418"/>
      <c r="H36" s="418"/>
      <c r="I36" s="418"/>
      <c r="J36" s="418"/>
      <c r="K36" s="418"/>
      <c r="L36" s="418"/>
      <c r="M36" s="418"/>
      <c r="N36" s="418"/>
      <c r="O36" s="418"/>
      <c r="P36" s="418"/>
      <c r="Q36" s="418"/>
      <c r="R36" s="418"/>
      <c r="S36" s="419"/>
      <c r="T36" s="457"/>
      <c r="U36" s="458"/>
      <c r="V36" s="458"/>
      <c r="W36" s="453"/>
      <c r="X36" s="288"/>
    </row>
    <row r="37" spans="3:24" ht="27" customHeight="1" hidden="1">
      <c r="C37" s="418"/>
      <c r="D37" s="418"/>
      <c r="E37" s="418"/>
      <c r="F37" s="418"/>
      <c r="G37" s="418"/>
      <c r="H37" s="418"/>
      <c r="I37" s="418"/>
      <c r="J37" s="418"/>
      <c r="K37" s="418"/>
      <c r="L37" s="418"/>
      <c r="M37" s="418"/>
      <c r="N37" s="418"/>
      <c r="O37" s="418"/>
      <c r="P37" s="418"/>
      <c r="Q37" s="418"/>
      <c r="R37" s="418"/>
      <c r="S37" s="419"/>
      <c r="T37" s="457"/>
      <c r="U37" s="458"/>
      <c r="V37" s="458"/>
      <c r="W37" s="453"/>
      <c r="X37" s="288"/>
    </row>
    <row r="38" spans="3:24" ht="27" customHeight="1" hidden="1">
      <c r="C38" s="418"/>
      <c r="D38" s="418"/>
      <c r="E38" s="418"/>
      <c r="F38" s="418"/>
      <c r="G38" s="418"/>
      <c r="H38" s="418"/>
      <c r="I38" s="418"/>
      <c r="J38" s="418"/>
      <c r="K38" s="418"/>
      <c r="L38" s="418"/>
      <c r="M38" s="418"/>
      <c r="N38" s="418"/>
      <c r="O38" s="418"/>
      <c r="P38" s="418"/>
      <c r="Q38" s="418"/>
      <c r="R38" s="418"/>
      <c r="S38" s="419"/>
      <c r="T38" s="457"/>
      <c r="U38" s="458"/>
      <c r="V38" s="458"/>
      <c r="W38" s="453"/>
      <c r="X38" s="288"/>
    </row>
    <row r="39" spans="3:24" ht="27" customHeight="1" hidden="1">
      <c r="C39" s="418"/>
      <c r="D39" s="418"/>
      <c r="E39" s="418"/>
      <c r="F39" s="418"/>
      <c r="G39" s="418"/>
      <c r="H39" s="418"/>
      <c r="I39" s="418"/>
      <c r="J39" s="418"/>
      <c r="K39" s="418"/>
      <c r="L39" s="418"/>
      <c r="M39" s="418"/>
      <c r="N39" s="418"/>
      <c r="O39" s="418"/>
      <c r="P39" s="418"/>
      <c r="Q39" s="418"/>
      <c r="R39" s="418"/>
      <c r="S39" s="419"/>
      <c r="T39" s="457"/>
      <c r="U39" s="458"/>
      <c r="V39" s="458"/>
      <c r="W39" s="453"/>
      <c r="X39" s="288"/>
    </row>
    <row r="40" spans="3:24" ht="27" customHeight="1" hidden="1">
      <c r="C40" s="418"/>
      <c r="D40" s="418"/>
      <c r="E40" s="418"/>
      <c r="F40" s="418"/>
      <c r="G40" s="418"/>
      <c r="H40" s="418"/>
      <c r="I40" s="418"/>
      <c r="J40" s="418"/>
      <c r="K40" s="418"/>
      <c r="L40" s="418"/>
      <c r="M40" s="418"/>
      <c r="N40" s="418"/>
      <c r="O40" s="418"/>
      <c r="P40" s="418"/>
      <c r="Q40" s="418"/>
      <c r="R40" s="418"/>
      <c r="S40" s="419"/>
      <c r="T40" s="457"/>
      <c r="U40" s="458"/>
      <c r="V40" s="458"/>
      <c r="W40" s="453"/>
      <c r="X40" s="288"/>
    </row>
    <row r="41" spans="3:24" ht="27" customHeight="1" hidden="1">
      <c r="C41" s="418"/>
      <c r="D41" s="418"/>
      <c r="E41" s="418"/>
      <c r="F41" s="418"/>
      <c r="G41" s="418"/>
      <c r="H41" s="418"/>
      <c r="I41" s="418"/>
      <c r="J41" s="418"/>
      <c r="K41" s="418"/>
      <c r="L41" s="418"/>
      <c r="M41" s="418"/>
      <c r="N41" s="418"/>
      <c r="O41" s="418"/>
      <c r="P41" s="418"/>
      <c r="Q41" s="418"/>
      <c r="R41" s="418"/>
      <c r="S41" s="419"/>
      <c r="T41" s="457"/>
      <c r="U41" s="458"/>
      <c r="V41" s="458"/>
      <c r="W41" s="453"/>
      <c r="X41" s="288"/>
    </row>
    <row r="42" spans="3:24" ht="27" customHeight="1" hidden="1">
      <c r="C42" s="418"/>
      <c r="D42" s="418"/>
      <c r="E42" s="418"/>
      <c r="F42" s="418"/>
      <c r="G42" s="418"/>
      <c r="H42" s="418"/>
      <c r="I42" s="418"/>
      <c r="J42" s="418"/>
      <c r="K42" s="418"/>
      <c r="L42" s="418"/>
      <c r="M42" s="418"/>
      <c r="N42" s="418"/>
      <c r="O42" s="418"/>
      <c r="P42" s="418"/>
      <c r="Q42" s="418"/>
      <c r="R42" s="418"/>
      <c r="S42" s="419"/>
      <c r="T42" s="457"/>
      <c r="U42" s="458"/>
      <c r="V42" s="458"/>
      <c r="W42" s="453"/>
      <c r="X42" s="288"/>
    </row>
    <row r="43" spans="3:24" ht="27" customHeight="1" hidden="1">
      <c r="C43" s="418"/>
      <c r="D43" s="418"/>
      <c r="E43" s="418"/>
      <c r="F43" s="418"/>
      <c r="G43" s="418"/>
      <c r="H43" s="418"/>
      <c r="I43" s="418"/>
      <c r="J43" s="418"/>
      <c r="K43" s="418"/>
      <c r="L43" s="418"/>
      <c r="M43" s="418"/>
      <c r="N43" s="418"/>
      <c r="O43" s="418"/>
      <c r="P43" s="418"/>
      <c r="Q43" s="418"/>
      <c r="R43" s="418"/>
      <c r="S43" s="419"/>
      <c r="T43" s="457"/>
      <c r="U43" s="458"/>
      <c r="V43" s="458"/>
      <c r="W43" s="453"/>
      <c r="X43" s="288"/>
    </row>
    <row r="44" spans="3:24" ht="27" customHeight="1" hidden="1">
      <c r="C44" s="418"/>
      <c r="D44" s="418"/>
      <c r="E44" s="418"/>
      <c r="F44" s="418"/>
      <c r="G44" s="418"/>
      <c r="H44" s="418"/>
      <c r="I44" s="418"/>
      <c r="J44" s="418"/>
      <c r="K44" s="418"/>
      <c r="L44" s="418"/>
      <c r="M44" s="418"/>
      <c r="N44" s="418"/>
      <c r="O44" s="418"/>
      <c r="P44" s="418"/>
      <c r="Q44" s="418"/>
      <c r="R44" s="418"/>
      <c r="S44" s="419"/>
      <c r="T44" s="457"/>
      <c r="U44" s="458"/>
      <c r="V44" s="458"/>
      <c r="W44" s="453"/>
      <c r="X44" s="288"/>
    </row>
    <row r="45" spans="3:24" ht="27" customHeight="1" hidden="1">
      <c r="C45" s="418"/>
      <c r="D45" s="418"/>
      <c r="E45" s="418"/>
      <c r="F45" s="418"/>
      <c r="G45" s="418"/>
      <c r="H45" s="418"/>
      <c r="I45" s="418"/>
      <c r="J45" s="418"/>
      <c r="K45" s="418"/>
      <c r="L45" s="418"/>
      <c r="M45" s="418"/>
      <c r="N45" s="418"/>
      <c r="O45" s="418"/>
      <c r="P45" s="418"/>
      <c r="Q45" s="418"/>
      <c r="R45" s="418"/>
      <c r="S45" s="419"/>
      <c r="T45" s="457"/>
      <c r="U45" s="458"/>
      <c r="V45" s="458"/>
      <c r="W45" s="453"/>
      <c r="X45" s="288"/>
    </row>
    <row r="46" spans="3:24" ht="18.75" customHeight="1" thickTop="1">
      <c r="C46" s="418"/>
      <c r="D46" s="418"/>
      <c r="E46" s="418"/>
      <c r="F46" s="418"/>
      <c r="G46" s="418"/>
      <c r="H46" s="418"/>
      <c r="I46" s="418"/>
      <c r="J46" s="418"/>
      <c r="K46" s="418"/>
      <c r="L46" s="418"/>
      <c r="M46" s="418"/>
      <c r="N46" s="418"/>
      <c r="O46" s="418"/>
      <c r="P46" s="418"/>
      <c r="Q46" s="418"/>
      <c r="R46" s="418"/>
      <c r="S46" s="419"/>
      <c r="T46" s="457"/>
      <c r="U46" s="458"/>
      <c r="V46" s="458"/>
      <c r="W46" s="453"/>
      <c r="X46" s="288"/>
    </row>
    <row r="47" spans="3:24" ht="18.75" customHeight="1">
      <c r="C47" s="418"/>
      <c r="D47" s="418"/>
      <c r="E47" s="418"/>
      <c r="F47" s="418"/>
      <c r="G47" s="418"/>
      <c r="H47" s="418"/>
      <c r="I47" s="418"/>
      <c r="J47" s="418"/>
      <c r="K47" s="418"/>
      <c r="L47" s="418"/>
      <c r="M47" s="418"/>
      <c r="N47" s="418"/>
      <c r="O47" s="418"/>
      <c r="P47" s="418"/>
      <c r="Q47" s="418"/>
      <c r="R47" s="418"/>
      <c r="S47" s="419"/>
      <c r="T47" s="457"/>
      <c r="U47" s="458"/>
      <c r="V47" s="458"/>
      <c r="W47" s="453"/>
      <c r="X47" s="288"/>
    </row>
    <row r="48" spans="3:91" ht="18.75" customHeight="1">
      <c r="C48" s="418"/>
      <c r="D48" s="418"/>
      <c r="E48" s="418"/>
      <c r="F48" s="418"/>
      <c r="G48" s="418"/>
      <c r="H48" s="418"/>
      <c r="I48" s="418"/>
      <c r="J48" s="418"/>
      <c r="K48" s="418"/>
      <c r="L48" s="418"/>
      <c r="M48" s="418"/>
      <c r="N48" s="418"/>
      <c r="O48" s="418"/>
      <c r="P48" s="418"/>
      <c r="Q48" s="418"/>
      <c r="R48" s="418"/>
      <c r="S48" s="419"/>
      <c r="T48" s="457"/>
      <c r="U48" s="458"/>
      <c r="V48" s="458"/>
      <c r="W48" s="453"/>
      <c r="X48" s="288"/>
      <c r="CM48" s="176" t="s">
        <v>111</v>
      </c>
    </row>
    <row r="49" spans="3:88" ht="19.5" customHeight="1">
      <c r="C49" s="418"/>
      <c r="D49" s="418"/>
      <c r="E49" s="418"/>
      <c r="F49" s="418"/>
      <c r="G49" s="418"/>
      <c r="H49" s="418"/>
      <c r="I49" s="418"/>
      <c r="J49" s="418"/>
      <c r="K49" s="418"/>
      <c r="L49" s="418"/>
      <c r="M49" s="418"/>
      <c r="N49" s="418"/>
      <c r="O49" s="418"/>
      <c r="P49" s="418"/>
      <c r="Q49" s="418"/>
      <c r="R49" s="418"/>
      <c r="S49" s="419"/>
      <c r="T49" s="457"/>
      <c r="U49" s="458"/>
      <c r="V49" s="458"/>
      <c r="W49" s="453"/>
      <c r="X49" s="288"/>
      <c r="BO49" s="440" t="s">
        <v>92</v>
      </c>
      <c r="BP49" s="440"/>
      <c r="BQ49" s="440"/>
      <c r="BR49" s="440"/>
      <c r="BT49" s="189" t="s">
        <v>93</v>
      </c>
      <c r="BU49" s="189"/>
      <c r="BV49" s="189"/>
      <c r="BW49" s="189"/>
      <c r="BY49" s="440" t="s">
        <v>94</v>
      </c>
      <c r="BZ49" s="440"/>
      <c r="CA49" s="440"/>
      <c r="CB49" s="440"/>
      <c r="CE49" s="176" t="s">
        <v>95</v>
      </c>
      <c r="CJ49" s="176" t="s">
        <v>103</v>
      </c>
    </row>
    <row r="50" spans="3:91" ht="33.75" thickBot="1">
      <c r="C50" s="420"/>
      <c r="D50" s="420"/>
      <c r="E50" s="420"/>
      <c r="F50" s="420"/>
      <c r="G50" s="420"/>
      <c r="H50" s="420"/>
      <c r="I50" s="420"/>
      <c r="J50" s="420"/>
      <c r="K50" s="420"/>
      <c r="L50" s="420"/>
      <c r="M50" s="420"/>
      <c r="N50" s="420"/>
      <c r="O50" s="420"/>
      <c r="P50" s="420"/>
      <c r="Q50" s="420"/>
      <c r="R50" s="420"/>
      <c r="S50" s="421"/>
      <c r="T50" s="459"/>
      <c r="U50" s="460"/>
      <c r="V50" s="460"/>
      <c r="W50" s="454"/>
      <c r="X50" s="288"/>
      <c r="BK50" s="189" t="s">
        <v>84</v>
      </c>
      <c r="BO50" s="188" t="s">
        <v>60</v>
      </c>
      <c r="BP50" s="188"/>
      <c r="BQ50" s="188" t="s">
        <v>91</v>
      </c>
      <c r="BR50" s="190">
        <f>BQ51-1</f>
        <v>5</v>
      </c>
      <c r="BT50" s="176" t="s">
        <v>60</v>
      </c>
      <c r="BV50" s="176" t="s">
        <v>91</v>
      </c>
      <c r="BY50" s="176" t="s">
        <v>60</v>
      </c>
      <c r="CA50" s="176" t="s">
        <v>91</v>
      </c>
      <c r="CE50" s="176" t="s">
        <v>60</v>
      </c>
      <c r="CG50" s="176" t="s">
        <v>91</v>
      </c>
      <c r="CJ50" s="189">
        <v>5</v>
      </c>
      <c r="CK50" s="189" t="e">
        <f>VLOOKUP(CJ50,CL51:CL81,1,0)</f>
        <v>#N/A</v>
      </c>
      <c r="CL50" s="189">
        <v>15</v>
      </c>
      <c r="CM50" s="189" t="e">
        <f>VLOOKUP(CL50,CL51:CM89,2,0)</f>
        <v>#N/A</v>
      </c>
    </row>
    <row r="51" spans="20:91" ht="33.75" hidden="1" thickTop="1">
      <c r="T51" s="219"/>
      <c r="U51" s="219"/>
      <c r="V51" s="219"/>
      <c r="W51" s="219"/>
      <c r="X51" s="288"/>
      <c r="BC51" s="189" t="s">
        <v>77</v>
      </c>
      <c r="BD51" s="191"/>
      <c r="BE51" s="192"/>
      <c r="BF51" s="193"/>
      <c r="BG51" s="193"/>
      <c r="BK51" s="189">
        <v>2</v>
      </c>
      <c r="BL51" s="189" t="str">
        <f>INDEX(BL52:BL56,BK51)</f>
        <v>Increment</v>
      </c>
      <c r="BM51" s="189"/>
      <c r="BN51" s="189"/>
      <c r="BO51" s="189">
        <v>5</v>
      </c>
      <c r="BP51" s="176" t="e">
        <f>VLOOKUP(BO51,BP52:BP82,1,0)</f>
        <v>#N/A</v>
      </c>
      <c r="BQ51" s="189">
        <v>6</v>
      </c>
      <c r="BR51" s="176" t="str">
        <f>VLOOKUP(BQ51,BO53:BQ90,3,0)</f>
        <v>Nov-2013</v>
      </c>
      <c r="BT51" s="189">
        <v>1</v>
      </c>
      <c r="BU51" s="176" t="e">
        <f>VLOOKUP(BT51,BU52:BU83,1,0)</f>
        <v>#N/A</v>
      </c>
      <c r="BV51" s="189">
        <v>18</v>
      </c>
      <c r="BW51" s="176" t="str">
        <f>VLOOKUP(BV51,BO53:BQ90,3,0)</f>
        <v>Nov-2014</v>
      </c>
      <c r="BY51" s="189">
        <v>30</v>
      </c>
      <c r="BZ51" s="176" t="e">
        <f>VLOOKUP(BY51,BZ52:BZ82,1,0)</f>
        <v>#N/A</v>
      </c>
      <c r="CA51" s="189">
        <v>20</v>
      </c>
      <c r="CB51" s="176" t="str">
        <f>VLOOKUP(CA51,BO53:BQ90,3,0)</f>
        <v>Jan-2015</v>
      </c>
      <c r="CD51" s="189">
        <v>14</v>
      </c>
      <c r="CE51" s="186" t="e">
        <f>VLOOKUP(CD51,CF52:CF90,1,0)</f>
        <v>#N/A</v>
      </c>
      <c r="CF51" s="189">
        <v>21</v>
      </c>
      <c r="CG51" s="176" t="str">
        <f>VLOOKUP(CF51,BO53:BQ90,3,0)</f>
        <v>Feb-2015</v>
      </c>
      <c r="CL51" s="176">
        <f>IF($AB$104=1,"",BP52)</f>
      </c>
      <c r="CM51" s="189" t="str">
        <f>IF($AB$104=1,"",BQ52)</f>
        <v>Not Availed</v>
      </c>
    </row>
    <row r="52" spans="20:91" ht="33" hidden="1">
      <c r="T52" s="219"/>
      <c r="U52" s="219"/>
      <c r="V52" s="219"/>
      <c r="W52" s="219"/>
      <c r="X52" s="288"/>
      <c r="AU52" s="439" t="s">
        <v>61</v>
      </c>
      <c r="AV52" s="439"/>
      <c r="AW52" s="439"/>
      <c r="AY52" s="176" t="s">
        <v>62</v>
      </c>
      <c r="BC52" s="189">
        <v>14</v>
      </c>
      <c r="BD52" s="194" t="str">
        <f>VLOOKUP(BC52,BC53:BD91,2,0)</f>
        <v>Jul-2014</v>
      </c>
      <c r="BE52" s="195"/>
      <c r="BF52" s="189"/>
      <c r="BG52" s="196"/>
      <c r="BH52" s="189"/>
      <c r="BK52" s="176">
        <v>1</v>
      </c>
      <c r="BL52" s="176" t="s">
        <v>69</v>
      </c>
      <c r="BO52" s="176">
        <v>1</v>
      </c>
      <c r="BP52" s="176">
        <f>IF(OR($BK$51=1,$BK$51=2),"",BO52)</f>
      </c>
      <c r="BQ52" s="176" t="str">
        <f>IF($BK$51=1,"",BD53)</f>
        <v>Not Availed</v>
      </c>
      <c r="BU52" s="176">
        <f>IF(OR($BK$60=1,$BK$60=2),"",BO52)</f>
      </c>
      <c r="BV52" s="176" t="str">
        <f>IF($BK$60=1,"",BD53)</f>
        <v>Not Availed</v>
      </c>
      <c r="BZ52" s="176">
        <f>IF(OR($BK$69=1,$BK$69=2),"",BO52)</f>
      </c>
      <c r="CA52" s="176">
        <f>IF($BK$69=1,"",BD53)</f>
      </c>
      <c r="CF52" s="176">
        <f>IF(OR($BK$78=1,$BK$78=2),"",BO52)</f>
      </c>
      <c r="CG52" s="176">
        <f>IF($BK$78=1,"",BD53)</f>
      </c>
      <c r="CL52" s="176">
        <f aca="true" t="shared" si="0" ref="CL52:CL89">IF($AB$104=1,"",BP53)</f>
      </c>
      <c r="CM52" s="189" t="str">
        <f aca="true" t="shared" si="1" ref="CM52:CM89">IF($AB$104=1,"",BQ53)</f>
        <v>Jul-2013</v>
      </c>
    </row>
    <row r="53" spans="20:91" ht="33" hidden="1">
      <c r="T53" s="219"/>
      <c r="U53" s="219" t="str">
        <f>W54&amp;", "&amp;G7</f>
        <v>Z P High School, M.D Mangalam</v>
      </c>
      <c r="V53" s="219"/>
      <c r="W53" s="219"/>
      <c r="X53" s="288"/>
      <c r="Y53" s="197">
        <f>IF(AND(Z53&gt;1,Z53&lt;=5),1,IF(AND(Z53&gt;=6,Z53&lt;=17),2,IF(AND(Z53&gt;=18,Z53&lt;=19),3,1)))</f>
        <v>2</v>
      </c>
      <c r="Z53" s="189">
        <v>7</v>
      </c>
      <c r="AA53" s="189" t="str">
        <f>VLOOKUP(Z53,Z55:AA73,2,0)</f>
        <v>SA(Eng)</v>
      </c>
      <c r="AB53" s="189" t="str">
        <f>VLOOKUP(AA53,AA55:AB73,2,0)</f>
        <v>School Assistant( English)</v>
      </c>
      <c r="AC53" s="189">
        <v>1</v>
      </c>
      <c r="AD53" s="189" t="str">
        <f>INDEX(AD55:AD67,MATCH(AC53,AC55:AC67,0))</f>
        <v>Jun</v>
      </c>
      <c r="AE53" s="189" t="str">
        <f>INDEX(AE55:AE67,MATCH(AC53,AC55:AC67,0))</f>
        <v>Jun-2013</v>
      </c>
      <c r="AF53" s="189" t="s">
        <v>68</v>
      </c>
      <c r="AS53" s="198" t="s">
        <v>66</v>
      </c>
      <c r="AT53" s="198" t="s">
        <v>67</v>
      </c>
      <c r="AU53" s="176" t="s">
        <v>52</v>
      </c>
      <c r="AV53" s="1" t="s">
        <v>55</v>
      </c>
      <c r="AW53" s="176" t="s">
        <v>56</v>
      </c>
      <c r="AY53" s="176" t="s">
        <v>63</v>
      </c>
      <c r="AZ53" s="176" t="s">
        <v>55</v>
      </c>
      <c r="BA53" s="176" t="s">
        <v>64</v>
      </c>
      <c r="BC53" s="176">
        <v>1</v>
      </c>
      <c r="BD53" s="176" t="s">
        <v>76</v>
      </c>
      <c r="BK53" s="176">
        <v>2</v>
      </c>
      <c r="BL53" s="176" t="s">
        <v>81</v>
      </c>
      <c r="BO53" s="176">
        <v>2</v>
      </c>
      <c r="BP53" s="176">
        <f aca="true" t="shared" si="2" ref="BP53:BP92">IF(OR($BK$51=1,$BK$51=2),"",BO53)</f>
      </c>
      <c r="BQ53" s="176" t="str">
        <f aca="true" t="shared" si="3" ref="BQ53:BQ90">IF($BK$51=1,"",BD54)</f>
        <v>Jul-2013</v>
      </c>
      <c r="BU53" s="176">
        <f aca="true" t="shared" si="4" ref="BU53:BU92">IF(OR($BK$60=1,$BK$60=2),"",BO53)</f>
      </c>
      <c r="BV53" s="176" t="str">
        <f aca="true" t="shared" si="5" ref="BV53:BV92">IF($BK$60=1,"",BD54)</f>
        <v>Jul-2013</v>
      </c>
      <c r="BZ53" s="176">
        <f aca="true" t="shared" si="6" ref="BZ53:BZ90">IF(OR($BK$69=1,$BK$69=2),"",BO53)</f>
      </c>
      <c r="CA53" s="176">
        <f>IF($BK$69=1,"",BV53)</f>
      </c>
      <c r="CF53" s="176">
        <f aca="true" t="shared" si="7" ref="CF53:CF90">IF(OR($BK$78=1,$BK$78=2),"",BO53)</f>
      </c>
      <c r="CG53" s="176">
        <f aca="true" t="shared" si="8" ref="CG53:CG90">IF($BK$78=1,"",BD54)</f>
      </c>
      <c r="CL53" s="176">
        <f t="shared" si="0"/>
      </c>
      <c r="CM53" s="189" t="str">
        <f t="shared" si="1"/>
        <v>Aug-2013</v>
      </c>
    </row>
    <row r="54" spans="7:91" ht="33" hidden="1">
      <c r="G54" s="189">
        <f>U54</f>
        <v>1</v>
      </c>
      <c r="H54" s="189">
        <f>VLOOKUP($G$54,$G$55:$Q$64,2,0)</f>
        <v>2202</v>
      </c>
      <c r="I54" s="189" t="str">
        <f>VLOOKUP($G$54,$G$55:$Q$64,3,0)</f>
        <v>02</v>
      </c>
      <c r="J54" s="189" t="str">
        <f>VLOOKUP($G$54,$G$55:$Q$64,4,0)</f>
        <v>191</v>
      </c>
      <c r="K54" s="189" t="str">
        <f>VLOOKUP($G$54,$G$55:$Q$64,5,0)</f>
        <v>xx</v>
      </c>
      <c r="L54" s="189" t="str">
        <f>VLOOKUP($G$54,$G$55:$Q$64,6,0)</f>
        <v>05</v>
      </c>
      <c r="M54" s="189" t="str">
        <f>VLOOKUP($G$54,$G$55:$Q$64,7,0)</f>
        <v>010</v>
      </c>
      <c r="N54" s="189" t="str">
        <f>VLOOKUP($G$54,$G$55:$Q$64,8,0)</f>
        <v>Assistance to local bodies Secondary Education</v>
      </c>
      <c r="O54" s="189"/>
      <c r="P54" s="189" t="str">
        <f>VLOOKUP($G$54,$G$55:$Q$64,10,0)</f>
        <v>Teaching Grants ZP</v>
      </c>
      <c r="Q54" s="189"/>
      <c r="R54" s="189"/>
      <c r="T54" s="219"/>
      <c r="U54" s="224">
        <v>1</v>
      </c>
      <c r="V54" s="224" t="str">
        <f>VLOOKUP(U54,U55:V64,2,0)</f>
        <v>ZPHS</v>
      </c>
      <c r="W54" s="224" t="str">
        <f>VLOOKUP(V54,V55:W64,2,0)</f>
        <v>Z P High School</v>
      </c>
      <c r="X54" s="288"/>
      <c r="Y54" s="189" t="str">
        <f>IF(OR(U54=1,U54=4),"Head Master",IF(OR(U54=2,U54=3,U54=5,U54=6)," Mandal Educational Officer ",IF(OR(U54=7,U54=8,U54=9),"Municipal Commissioner ","_______________________________")))</f>
        <v>Head Master</v>
      </c>
      <c r="Z54" s="189"/>
      <c r="AA54" s="176" t="s">
        <v>1</v>
      </c>
      <c r="AD54" s="176" t="s">
        <v>13</v>
      </c>
      <c r="AF54" s="189">
        <v>1</v>
      </c>
      <c r="AG54" s="189">
        <f>VLOOKUP(AF54,days,1,0)</f>
        <v>1</v>
      </c>
      <c r="AI54" s="189"/>
      <c r="AJ54" s="189" t="s">
        <v>53</v>
      </c>
      <c r="AK54" s="189"/>
      <c r="AM54" s="176" t="s">
        <v>164</v>
      </c>
      <c r="AQ54" s="176">
        <v>1</v>
      </c>
      <c r="AR54" s="176" t="s">
        <v>15</v>
      </c>
      <c r="AS54" s="2">
        <v>1</v>
      </c>
      <c r="AT54" s="2" t="str">
        <f aca="true" t="shared" si="9" ref="AT54:AT59">AR54&amp;"-2013"</f>
        <v>Jul-2013</v>
      </c>
      <c r="AU54" s="1">
        <v>10900</v>
      </c>
      <c r="AV54" s="1">
        <v>11200</v>
      </c>
      <c r="AW54" s="1">
        <v>11530</v>
      </c>
      <c r="AY54" s="4">
        <v>23100</v>
      </c>
      <c r="AZ54" s="4">
        <v>23740</v>
      </c>
      <c r="BA54" s="4">
        <v>24440</v>
      </c>
      <c r="BC54" s="176">
        <v>2</v>
      </c>
      <c r="BD54" s="176" t="str">
        <f>AT54</f>
        <v>Jul-2013</v>
      </c>
      <c r="BF54" s="191"/>
      <c r="BG54" s="199"/>
      <c r="BH54" s="191"/>
      <c r="BK54" s="176">
        <v>3</v>
      </c>
      <c r="BL54" s="176" t="s">
        <v>86</v>
      </c>
      <c r="BO54" s="176">
        <v>3</v>
      </c>
      <c r="BP54" s="176">
        <f t="shared" si="2"/>
      </c>
      <c r="BQ54" s="176" t="str">
        <f t="shared" si="3"/>
        <v>Aug-2013</v>
      </c>
      <c r="BU54" s="176">
        <f t="shared" si="4"/>
      </c>
      <c r="BV54" s="176" t="str">
        <f t="shared" si="5"/>
        <v>Aug-2013</v>
      </c>
      <c r="BZ54" s="176">
        <f t="shared" si="6"/>
      </c>
      <c r="CA54" s="176">
        <f aca="true" t="shared" si="10" ref="CA54:CA90">IF($BK$69=1,"",BV54)</f>
      </c>
      <c r="CF54" s="176">
        <f t="shared" si="7"/>
      </c>
      <c r="CG54" s="176">
        <f t="shared" si="8"/>
      </c>
      <c r="CL54" s="176">
        <f t="shared" si="0"/>
      </c>
      <c r="CM54" s="189" t="str">
        <f t="shared" si="1"/>
        <v>Sep-2013</v>
      </c>
    </row>
    <row r="55" spans="7:91" ht="33" hidden="1">
      <c r="G55" s="176">
        <f>U55</f>
        <v>1</v>
      </c>
      <c r="H55" s="290">
        <v>2202</v>
      </c>
      <c r="I55" s="290" t="s">
        <v>709</v>
      </c>
      <c r="J55" s="290" t="s">
        <v>710</v>
      </c>
      <c r="K55" s="290" t="s">
        <v>705</v>
      </c>
      <c r="L55" s="290" t="s">
        <v>708</v>
      </c>
      <c r="M55" s="290" t="s">
        <v>706</v>
      </c>
      <c r="N55" s="290" t="s">
        <v>714</v>
      </c>
      <c r="O55" s="290"/>
      <c r="P55" s="176" t="s">
        <v>718</v>
      </c>
      <c r="T55" s="219"/>
      <c r="U55" s="219">
        <v>1</v>
      </c>
      <c r="V55" s="219" t="s">
        <v>578</v>
      </c>
      <c r="W55" s="219" t="s">
        <v>587</v>
      </c>
      <c r="X55" s="288"/>
      <c r="Y55" s="176" t="str">
        <f>IF(OR(U54=1,U54=4),U53,IF(OR(U54=2,U54=3,U54=5,U54=6),L7,IF(OR(U54=7,U54=8,U54=9),L7,"_______________________________")))</f>
        <v>Z P High School, M.D Mangalam</v>
      </c>
      <c r="Z55" s="176">
        <v>1</v>
      </c>
      <c r="AA55" s="176" t="s">
        <v>2</v>
      </c>
      <c r="AB55" s="176" t="s">
        <v>217</v>
      </c>
      <c r="AC55" s="176">
        <v>1</v>
      </c>
      <c r="AD55" s="200" t="s">
        <v>14</v>
      </c>
      <c r="AE55" s="176" t="str">
        <f>AD55&amp;"-2013"</f>
        <v>Jun-2013</v>
      </c>
      <c r="AF55" s="176">
        <v>1</v>
      </c>
      <c r="AI55" s="176">
        <v>20</v>
      </c>
      <c r="AJ55" s="176">
        <f>INDEX(AU54:AU116,MATCH(AI55,AS54:AS116,0))</f>
        <v>18520</v>
      </c>
      <c r="AL55" s="189">
        <v>1</v>
      </c>
      <c r="AM55" s="189" t="str">
        <f>INDEX(AM56:AM57,AL55)</f>
        <v>NO</v>
      </c>
      <c r="AQ55" s="176">
        <v>2</v>
      </c>
      <c r="AR55" s="176" t="s">
        <v>16</v>
      </c>
      <c r="AS55" s="2">
        <v>2</v>
      </c>
      <c r="AT55" s="2" t="str">
        <f t="shared" si="9"/>
        <v>Aug-2013</v>
      </c>
      <c r="AU55" s="1">
        <v>11200</v>
      </c>
      <c r="AV55" s="1">
        <v>11530</v>
      </c>
      <c r="AW55" s="1">
        <v>11860</v>
      </c>
      <c r="AY55" s="4">
        <v>23740</v>
      </c>
      <c r="AZ55" s="4">
        <v>24440</v>
      </c>
      <c r="BA55" s="4">
        <v>25140</v>
      </c>
      <c r="BC55" s="176">
        <v>3</v>
      </c>
      <c r="BD55" s="176" t="str">
        <f aca="true" t="shared" si="11" ref="BD55:BD91">AT55</f>
        <v>Aug-2013</v>
      </c>
      <c r="BK55" s="176">
        <v>4</v>
      </c>
      <c r="BL55" s="176" t="s">
        <v>82</v>
      </c>
      <c r="BO55" s="176">
        <v>4</v>
      </c>
      <c r="BP55" s="176">
        <f t="shared" si="2"/>
      </c>
      <c r="BQ55" s="176" t="str">
        <f t="shared" si="3"/>
        <v>Sep-2013</v>
      </c>
      <c r="BU55" s="176">
        <f t="shared" si="4"/>
      </c>
      <c r="BV55" s="176" t="str">
        <f t="shared" si="5"/>
        <v>Sep-2013</v>
      </c>
      <c r="BZ55" s="176">
        <f t="shared" si="6"/>
      </c>
      <c r="CA55" s="176">
        <f t="shared" si="10"/>
      </c>
      <c r="CF55" s="176">
        <f t="shared" si="7"/>
      </c>
      <c r="CG55" s="176">
        <f t="shared" si="8"/>
      </c>
      <c r="CL55" s="176">
        <f t="shared" si="0"/>
      </c>
      <c r="CM55" s="189" t="str">
        <f t="shared" si="1"/>
        <v>Oct-2013</v>
      </c>
    </row>
    <row r="56" spans="7:91" ht="33" hidden="1">
      <c r="G56" s="176">
        <f aca="true" t="shared" si="12" ref="G56:G63">U56</f>
        <v>2</v>
      </c>
      <c r="H56" s="290">
        <v>2202</v>
      </c>
      <c r="I56" s="290" t="s">
        <v>707</v>
      </c>
      <c r="J56" s="290">
        <v>103</v>
      </c>
      <c r="K56" s="290" t="s">
        <v>705</v>
      </c>
      <c r="L56" s="290" t="s">
        <v>708</v>
      </c>
      <c r="M56" s="290" t="s">
        <v>706</v>
      </c>
      <c r="N56" s="290" t="s">
        <v>715</v>
      </c>
      <c r="O56" s="290"/>
      <c r="P56" s="176" t="s">
        <v>719</v>
      </c>
      <c r="T56" s="219"/>
      <c r="U56" s="219">
        <v>2</v>
      </c>
      <c r="V56" s="219" t="s">
        <v>579</v>
      </c>
      <c r="W56" s="219" t="s">
        <v>588</v>
      </c>
      <c r="X56" s="288"/>
      <c r="Z56" s="176">
        <v>2</v>
      </c>
      <c r="AA56" s="176" t="s">
        <v>6</v>
      </c>
      <c r="AB56" s="176" t="str">
        <f>AA56</f>
        <v>PET</v>
      </c>
      <c r="AC56" s="176">
        <v>2</v>
      </c>
      <c r="AD56" s="200" t="s">
        <v>15</v>
      </c>
      <c r="AE56" s="176" t="str">
        <f aca="true" t="shared" si="13" ref="AE56:AE61">AD56&amp;"-2013"</f>
        <v>Jul-2013</v>
      </c>
      <c r="AF56" s="176">
        <v>2</v>
      </c>
      <c r="AG56" s="176" t="s">
        <v>150</v>
      </c>
      <c r="AL56" s="176">
        <v>1</v>
      </c>
      <c r="AM56" s="176" t="s">
        <v>166</v>
      </c>
      <c r="AQ56" s="176">
        <v>3</v>
      </c>
      <c r="AR56" s="176" t="s">
        <v>17</v>
      </c>
      <c r="AS56" s="2">
        <v>3</v>
      </c>
      <c r="AT56" s="2" t="str">
        <f t="shared" si="9"/>
        <v>Sep-2013</v>
      </c>
      <c r="AU56" s="1">
        <v>11530</v>
      </c>
      <c r="AV56" s="1">
        <v>11860</v>
      </c>
      <c r="AW56" s="1">
        <v>12190</v>
      </c>
      <c r="AY56" s="4">
        <v>24440</v>
      </c>
      <c r="AZ56" s="4">
        <v>25140</v>
      </c>
      <c r="BA56" s="4">
        <v>25840</v>
      </c>
      <c r="BC56" s="176">
        <v>4</v>
      </c>
      <c r="BD56" s="176" t="str">
        <f t="shared" si="11"/>
        <v>Sep-2013</v>
      </c>
      <c r="BK56" s="176">
        <v>5</v>
      </c>
      <c r="BL56" s="176" t="s">
        <v>83</v>
      </c>
      <c r="BO56" s="176">
        <v>5</v>
      </c>
      <c r="BP56" s="176">
        <f t="shared" si="2"/>
      </c>
      <c r="BQ56" s="176" t="str">
        <f t="shared" si="3"/>
        <v>Oct-2013</v>
      </c>
      <c r="BU56" s="176">
        <f t="shared" si="4"/>
      </c>
      <c r="BV56" s="176" t="str">
        <f t="shared" si="5"/>
        <v>Oct-2013</v>
      </c>
      <c r="BZ56" s="176">
        <f t="shared" si="6"/>
      </c>
      <c r="CA56" s="176">
        <f t="shared" si="10"/>
      </c>
      <c r="CF56" s="176">
        <f t="shared" si="7"/>
      </c>
      <c r="CG56" s="176">
        <f t="shared" si="8"/>
      </c>
      <c r="CL56" s="176">
        <f t="shared" si="0"/>
      </c>
      <c r="CM56" s="189" t="str">
        <f t="shared" si="1"/>
        <v>Nov-2013</v>
      </c>
    </row>
    <row r="57" spans="7:91" ht="33" hidden="1">
      <c r="G57" s="176">
        <f t="shared" si="12"/>
        <v>3</v>
      </c>
      <c r="H57" s="290">
        <v>2202</v>
      </c>
      <c r="I57" s="290" t="s">
        <v>707</v>
      </c>
      <c r="J57" s="290">
        <v>103</v>
      </c>
      <c r="K57" s="290" t="s">
        <v>705</v>
      </c>
      <c r="L57" s="290" t="s">
        <v>708</v>
      </c>
      <c r="M57" s="290" t="s">
        <v>706</v>
      </c>
      <c r="N57" s="290" t="s">
        <v>715</v>
      </c>
      <c r="O57" s="290"/>
      <c r="P57" s="176" t="s">
        <v>719</v>
      </c>
      <c r="T57" s="219"/>
      <c r="U57" s="219">
        <v>3</v>
      </c>
      <c r="V57" s="219" t="s">
        <v>580</v>
      </c>
      <c r="W57" s="219" t="s">
        <v>589</v>
      </c>
      <c r="X57" s="288"/>
      <c r="Z57" s="176">
        <v>3</v>
      </c>
      <c r="AA57" s="176" t="s">
        <v>155</v>
      </c>
      <c r="AB57" s="176" t="s">
        <v>548</v>
      </c>
      <c r="AC57" s="176">
        <v>3</v>
      </c>
      <c r="AD57" s="200" t="s">
        <v>16</v>
      </c>
      <c r="AE57" s="176" t="str">
        <f t="shared" si="13"/>
        <v>Aug-2013</v>
      </c>
      <c r="AF57" s="176">
        <v>3</v>
      </c>
      <c r="AG57" s="189">
        <v>7</v>
      </c>
      <c r="AH57" s="189" t="str">
        <f>INDEX(AH58:AH72,MATCH(AG57,AG58:AG72,0))</f>
        <v>SA(Hin)</v>
      </c>
      <c r="AL57" s="176">
        <v>2</v>
      </c>
      <c r="AM57" s="176" t="s">
        <v>165</v>
      </c>
      <c r="AQ57" s="176">
        <v>4</v>
      </c>
      <c r="AR57" s="176" t="s">
        <v>18</v>
      </c>
      <c r="AS57" s="2">
        <v>4</v>
      </c>
      <c r="AT57" s="2" t="str">
        <f t="shared" si="9"/>
        <v>Oct-2013</v>
      </c>
      <c r="AU57" s="1">
        <v>11860</v>
      </c>
      <c r="AV57" s="1">
        <v>12190</v>
      </c>
      <c r="AW57" s="1">
        <v>12550</v>
      </c>
      <c r="AY57" s="4">
        <v>25140</v>
      </c>
      <c r="AZ57" s="4">
        <v>25840</v>
      </c>
      <c r="BA57" s="4">
        <v>26600</v>
      </c>
      <c r="BC57" s="176">
        <v>5</v>
      </c>
      <c r="BD57" s="176" t="str">
        <f t="shared" si="11"/>
        <v>Oct-2013</v>
      </c>
      <c r="BK57" s="176">
        <v>6</v>
      </c>
      <c r="BL57" s="176" t="s">
        <v>87</v>
      </c>
      <c r="BO57" s="176">
        <v>6</v>
      </c>
      <c r="BP57" s="176">
        <f t="shared" si="2"/>
      </c>
      <c r="BQ57" s="176" t="str">
        <f t="shared" si="3"/>
        <v>Nov-2013</v>
      </c>
      <c r="BU57" s="176">
        <f t="shared" si="4"/>
      </c>
      <c r="BV57" s="176" t="str">
        <f t="shared" si="5"/>
        <v>Nov-2013</v>
      </c>
      <c r="BZ57" s="176">
        <f t="shared" si="6"/>
      </c>
      <c r="CA57" s="176">
        <f t="shared" si="10"/>
      </c>
      <c r="CF57" s="176">
        <f t="shared" si="7"/>
      </c>
      <c r="CG57" s="176">
        <f t="shared" si="8"/>
      </c>
      <c r="CL57" s="176">
        <f t="shared" si="0"/>
      </c>
      <c r="CM57" s="189" t="str">
        <f t="shared" si="1"/>
        <v>Dec-2013</v>
      </c>
    </row>
    <row r="58" spans="7:91" ht="33" hidden="1">
      <c r="G58" s="176">
        <f t="shared" si="12"/>
        <v>4</v>
      </c>
      <c r="H58" s="290" t="s">
        <v>711</v>
      </c>
      <c r="I58" s="290" t="s">
        <v>707</v>
      </c>
      <c r="J58" s="290" t="s">
        <v>716</v>
      </c>
      <c r="K58" s="290" t="s">
        <v>705</v>
      </c>
      <c r="L58" s="290" t="s">
        <v>713</v>
      </c>
      <c r="M58" s="290" t="s">
        <v>706</v>
      </c>
      <c r="N58" s="290" t="s">
        <v>717</v>
      </c>
      <c r="O58" s="290"/>
      <c r="P58" s="176" t="s">
        <v>722</v>
      </c>
      <c r="T58" s="219"/>
      <c r="U58" s="219">
        <v>4</v>
      </c>
      <c r="V58" s="219" t="s">
        <v>581</v>
      </c>
      <c r="W58" s="219" t="s">
        <v>590</v>
      </c>
      <c r="X58" s="288"/>
      <c r="Z58" s="176">
        <v>4</v>
      </c>
      <c r="AA58" s="176" t="s">
        <v>157</v>
      </c>
      <c r="AB58" s="176" t="s">
        <v>549</v>
      </c>
      <c r="AC58" s="176">
        <v>4</v>
      </c>
      <c r="AD58" s="200" t="s">
        <v>17</v>
      </c>
      <c r="AE58" s="176" t="str">
        <f t="shared" si="13"/>
        <v>Sep-2013</v>
      </c>
      <c r="AF58" s="176">
        <v>4</v>
      </c>
      <c r="AG58" s="176">
        <v>1</v>
      </c>
      <c r="AH58" s="176" t="s">
        <v>3</v>
      </c>
      <c r="AQ58" s="176">
        <v>5</v>
      </c>
      <c r="AR58" s="176" t="s">
        <v>19</v>
      </c>
      <c r="AS58" s="2">
        <v>5</v>
      </c>
      <c r="AT58" s="2" t="str">
        <f t="shared" si="9"/>
        <v>Nov-2013</v>
      </c>
      <c r="AU58" s="1">
        <v>12190</v>
      </c>
      <c r="AV58" s="1">
        <v>12550</v>
      </c>
      <c r="AW58" s="1">
        <v>12910</v>
      </c>
      <c r="AY58" s="4">
        <v>25840</v>
      </c>
      <c r="AZ58" s="4">
        <v>26600</v>
      </c>
      <c r="BA58" s="4">
        <v>27360</v>
      </c>
      <c r="BC58" s="176">
        <v>6</v>
      </c>
      <c r="BD58" s="176" t="str">
        <f t="shared" si="11"/>
        <v>Nov-2013</v>
      </c>
      <c r="BO58" s="176">
        <v>7</v>
      </c>
      <c r="BP58" s="176">
        <f t="shared" si="2"/>
      </c>
      <c r="BQ58" s="176" t="str">
        <f t="shared" si="3"/>
        <v>Dec-2013</v>
      </c>
      <c r="BU58" s="176">
        <f t="shared" si="4"/>
      </c>
      <c r="BV58" s="176" t="str">
        <f t="shared" si="5"/>
        <v>Dec-2013</v>
      </c>
      <c r="BZ58" s="176">
        <f t="shared" si="6"/>
      </c>
      <c r="CA58" s="176">
        <f t="shared" si="10"/>
      </c>
      <c r="CF58" s="176">
        <f t="shared" si="7"/>
      </c>
      <c r="CG58" s="176">
        <f t="shared" si="8"/>
      </c>
      <c r="CL58" s="176">
        <f t="shared" si="0"/>
      </c>
      <c r="CM58" s="189" t="str">
        <f t="shared" si="1"/>
        <v>Jan-2014</v>
      </c>
    </row>
    <row r="59" spans="7:91" ht="33" hidden="1">
      <c r="G59" s="176">
        <f t="shared" si="12"/>
        <v>5</v>
      </c>
      <c r="H59" s="290" t="s">
        <v>711</v>
      </c>
      <c r="I59" s="290" t="s">
        <v>707</v>
      </c>
      <c r="J59" s="290" t="s">
        <v>712</v>
      </c>
      <c r="K59" s="290" t="s">
        <v>705</v>
      </c>
      <c r="L59" s="290" t="s">
        <v>713</v>
      </c>
      <c r="M59" s="290" t="s">
        <v>706</v>
      </c>
      <c r="N59" s="290" t="s">
        <v>592</v>
      </c>
      <c r="O59" s="290"/>
      <c r="P59" s="176" t="s">
        <v>721</v>
      </c>
      <c r="T59" s="219"/>
      <c r="U59" s="219">
        <v>5</v>
      </c>
      <c r="V59" s="219" t="s">
        <v>583</v>
      </c>
      <c r="W59" s="219" t="s">
        <v>591</v>
      </c>
      <c r="X59" s="288"/>
      <c r="Z59" s="176">
        <v>5</v>
      </c>
      <c r="AA59" s="176" t="s">
        <v>156</v>
      </c>
      <c r="AB59" s="176" t="s">
        <v>550</v>
      </c>
      <c r="AC59" s="176">
        <v>5</v>
      </c>
      <c r="AD59" s="200" t="s">
        <v>18</v>
      </c>
      <c r="AE59" s="176" t="str">
        <f t="shared" si="13"/>
        <v>Oct-2013</v>
      </c>
      <c r="AF59" s="176">
        <v>5</v>
      </c>
      <c r="AG59" s="176">
        <v>2</v>
      </c>
      <c r="AH59" s="176" t="s">
        <v>4</v>
      </c>
      <c r="AQ59" s="176">
        <v>6</v>
      </c>
      <c r="AR59" s="176" t="s">
        <v>20</v>
      </c>
      <c r="AS59" s="2">
        <v>6</v>
      </c>
      <c r="AT59" s="2" t="str">
        <f t="shared" si="9"/>
        <v>Dec-2013</v>
      </c>
      <c r="AU59" s="1">
        <v>12550</v>
      </c>
      <c r="AV59" s="1">
        <v>12910</v>
      </c>
      <c r="AW59" s="1">
        <v>13270</v>
      </c>
      <c r="AY59" s="4">
        <v>26600</v>
      </c>
      <c r="AZ59" s="4">
        <v>27360</v>
      </c>
      <c r="BA59" s="4">
        <v>28120</v>
      </c>
      <c r="BC59" s="176">
        <v>7</v>
      </c>
      <c r="BD59" s="176" t="str">
        <f t="shared" si="11"/>
        <v>Dec-2013</v>
      </c>
      <c r="BF59" s="189" t="s">
        <v>78</v>
      </c>
      <c r="BG59" s="189"/>
      <c r="BH59" s="189" t="s">
        <v>79</v>
      </c>
      <c r="BI59" s="189"/>
      <c r="BK59" s="189" t="s">
        <v>85</v>
      </c>
      <c r="BL59" s="189"/>
      <c r="BO59" s="176">
        <v>8</v>
      </c>
      <c r="BP59" s="176">
        <f t="shared" si="2"/>
      </c>
      <c r="BQ59" s="176" t="str">
        <f t="shared" si="3"/>
        <v>Jan-2014</v>
      </c>
      <c r="BU59" s="176">
        <f t="shared" si="4"/>
      </c>
      <c r="BV59" s="176" t="str">
        <f t="shared" si="5"/>
        <v>Jan-2014</v>
      </c>
      <c r="BZ59" s="176">
        <f t="shared" si="6"/>
      </c>
      <c r="CA59" s="176">
        <f t="shared" si="10"/>
      </c>
      <c r="CF59" s="176">
        <f t="shared" si="7"/>
      </c>
      <c r="CG59" s="176">
        <f t="shared" si="8"/>
      </c>
      <c r="CL59" s="176">
        <f t="shared" si="0"/>
      </c>
      <c r="CM59" s="189" t="str">
        <f t="shared" si="1"/>
        <v>Feb-2014</v>
      </c>
    </row>
    <row r="60" spans="7:91" ht="33" hidden="1">
      <c r="G60" s="176">
        <f t="shared" si="12"/>
        <v>6</v>
      </c>
      <c r="H60" s="290" t="s">
        <v>711</v>
      </c>
      <c r="I60" s="290" t="s">
        <v>707</v>
      </c>
      <c r="J60" s="290" t="s">
        <v>712</v>
      </c>
      <c r="K60" s="290" t="s">
        <v>705</v>
      </c>
      <c r="L60" s="290" t="s">
        <v>713</v>
      </c>
      <c r="M60" s="290" t="s">
        <v>706</v>
      </c>
      <c r="N60" s="290" t="s">
        <v>592</v>
      </c>
      <c r="O60" s="290"/>
      <c r="P60" s="176" t="s">
        <v>721</v>
      </c>
      <c r="T60" s="219"/>
      <c r="U60" s="219">
        <v>6</v>
      </c>
      <c r="V60" s="219" t="s">
        <v>582</v>
      </c>
      <c r="W60" s="219" t="s">
        <v>592</v>
      </c>
      <c r="X60" s="288"/>
      <c r="Z60" s="176">
        <v>6</v>
      </c>
      <c r="AA60" s="176" t="s">
        <v>3</v>
      </c>
      <c r="AB60" s="176" t="s">
        <v>551</v>
      </c>
      <c r="AC60" s="176">
        <v>6</v>
      </c>
      <c r="AD60" s="200" t="s">
        <v>19</v>
      </c>
      <c r="AE60" s="176" t="str">
        <f t="shared" si="13"/>
        <v>Nov-2013</v>
      </c>
      <c r="AF60" s="176">
        <v>6</v>
      </c>
      <c r="AG60" s="176">
        <v>3</v>
      </c>
      <c r="AH60" s="176" t="s">
        <v>142</v>
      </c>
      <c r="AQ60" s="176">
        <v>7</v>
      </c>
      <c r="AR60" s="176" t="s">
        <v>21</v>
      </c>
      <c r="AS60" s="2">
        <v>7</v>
      </c>
      <c r="AT60" s="2" t="str">
        <f>AR60&amp;"-2014"</f>
        <v>Jan-2014</v>
      </c>
      <c r="AU60" s="1">
        <v>12910</v>
      </c>
      <c r="AV60" s="1">
        <v>13270</v>
      </c>
      <c r="AW60" s="1">
        <v>13660</v>
      </c>
      <c r="AY60" s="4">
        <v>27360</v>
      </c>
      <c r="AZ60" s="4">
        <v>28120</v>
      </c>
      <c r="BA60" s="5">
        <v>28940</v>
      </c>
      <c r="BC60" s="176">
        <v>8</v>
      </c>
      <c r="BD60" s="176" t="str">
        <f t="shared" si="11"/>
        <v>Jan-2014</v>
      </c>
      <c r="BF60" s="189">
        <v>2</v>
      </c>
      <c r="BG60" s="189" t="str">
        <f>IF(BC52=0,"",VLOOKUP(BF60,BF61:BG62,2,0))</f>
        <v>30 Days</v>
      </c>
      <c r="BH60" s="189">
        <v>2</v>
      </c>
      <c r="BI60" s="189" t="str">
        <f>IF(BC52=1,"",VLOOKUP(BH60,BF61:BG62,2,0))</f>
        <v>30 Days</v>
      </c>
      <c r="BK60" s="189">
        <v>2</v>
      </c>
      <c r="BL60" s="189" t="str">
        <f>VLOOKUP(BK60,BK61:BM65,2,0)</f>
        <v>Increment</v>
      </c>
      <c r="BO60" s="176">
        <v>9</v>
      </c>
      <c r="BP60" s="176">
        <f t="shared" si="2"/>
      </c>
      <c r="BQ60" s="176" t="str">
        <f t="shared" si="3"/>
        <v>Feb-2014</v>
      </c>
      <c r="BU60" s="176">
        <f t="shared" si="4"/>
      </c>
      <c r="BV60" s="176" t="str">
        <f t="shared" si="5"/>
        <v>Feb-2014</v>
      </c>
      <c r="BZ60" s="176">
        <f t="shared" si="6"/>
      </c>
      <c r="CA60" s="176">
        <f t="shared" si="10"/>
      </c>
      <c r="CF60" s="176">
        <f t="shared" si="7"/>
      </c>
      <c r="CG60" s="176">
        <f t="shared" si="8"/>
      </c>
      <c r="CL60" s="176">
        <f t="shared" si="0"/>
      </c>
      <c r="CM60" s="189" t="str">
        <f t="shared" si="1"/>
        <v>Mar-2014</v>
      </c>
    </row>
    <row r="61" spans="7:91" ht="33" hidden="1">
      <c r="G61" s="176">
        <f t="shared" si="12"/>
        <v>7</v>
      </c>
      <c r="H61" s="290" t="s">
        <v>711</v>
      </c>
      <c r="I61" s="290" t="s">
        <v>709</v>
      </c>
      <c r="J61" s="290" t="s">
        <v>710</v>
      </c>
      <c r="K61" s="290" t="s">
        <v>705</v>
      </c>
      <c r="L61" s="290" t="s">
        <v>708</v>
      </c>
      <c r="M61" s="290" t="s">
        <v>706</v>
      </c>
      <c r="N61" s="290" t="s">
        <v>714</v>
      </c>
      <c r="O61" s="290"/>
      <c r="P61" s="176" t="s">
        <v>723</v>
      </c>
      <c r="T61" s="219"/>
      <c r="U61" s="219">
        <v>7</v>
      </c>
      <c r="V61" s="219" t="s">
        <v>584</v>
      </c>
      <c r="W61" s="219" t="s">
        <v>593</v>
      </c>
      <c r="X61" s="288"/>
      <c r="Z61" s="176">
        <v>7</v>
      </c>
      <c r="AA61" s="176" t="s">
        <v>4</v>
      </c>
      <c r="AB61" s="176" t="s">
        <v>552</v>
      </c>
      <c r="AC61" s="176">
        <v>7</v>
      </c>
      <c r="AD61" s="200" t="s">
        <v>20</v>
      </c>
      <c r="AE61" s="176" t="str">
        <f t="shared" si="13"/>
        <v>Dec-2013</v>
      </c>
      <c r="AF61" s="176">
        <v>7</v>
      </c>
      <c r="AG61" s="176">
        <v>4</v>
      </c>
      <c r="AH61" s="176" t="s">
        <v>143</v>
      </c>
      <c r="AJ61" s="176" t="s">
        <v>199</v>
      </c>
      <c r="AQ61" s="176">
        <v>8</v>
      </c>
      <c r="AR61" s="176" t="s">
        <v>22</v>
      </c>
      <c r="AS61" s="2">
        <v>8</v>
      </c>
      <c r="AT61" s="2" t="str">
        <f>AR61&amp;"-2014"</f>
        <v>Feb-2014</v>
      </c>
      <c r="AU61" s="1">
        <v>13270</v>
      </c>
      <c r="AV61" s="1">
        <v>13660</v>
      </c>
      <c r="AW61" s="1">
        <v>14050</v>
      </c>
      <c r="AY61" s="4">
        <v>28120</v>
      </c>
      <c r="AZ61" s="5">
        <v>28940</v>
      </c>
      <c r="BA61" s="4">
        <v>29760</v>
      </c>
      <c r="BC61" s="176">
        <v>9</v>
      </c>
      <c r="BD61" s="176" t="str">
        <f t="shared" si="11"/>
        <v>Feb-2014</v>
      </c>
      <c r="BF61" s="176">
        <v>1</v>
      </c>
      <c r="BG61" s="176" t="str">
        <f>IF(BC52=0,"",IF($BC$52=1,"","15 Days"))</f>
        <v>15 Days</v>
      </c>
      <c r="BH61" s="176">
        <f>BF61</f>
        <v>1</v>
      </c>
      <c r="BI61" s="176">
        <f>IF($BC$52=1,"",IF($BG$65=1,"",BG61))</f>
      </c>
      <c r="BK61" s="176">
        <v>1</v>
      </c>
      <c r="BL61" s="176" t="str">
        <f>IF(BK51=1,"Select Above"," No Change")</f>
        <v> No Change</v>
      </c>
      <c r="BO61" s="176">
        <v>10</v>
      </c>
      <c r="BP61" s="176">
        <f t="shared" si="2"/>
      </c>
      <c r="BQ61" s="176" t="str">
        <f t="shared" si="3"/>
        <v>Mar-2014</v>
      </c>
      <c r="BU61" s="176">
        <f t="shared" si="4"/>
      </c>
      <c r="BV61" s="176" t="str">
        <f t="shared" si="5"/>
        <v>Mar-2014</v>
      </c>
      <c r="BZ61" s="176">
        <f t="shared" si="6"/>
      </c>
      <c r="CA61" s="176">
        <f t="shared" si="10"/>
      </c>
      <c r="CF61" s="176">
        <f t="shared" si="7"/>
      </c>
      <c r="CG61" s="176">
        <f t="shared" si="8"/>
      </c>
      <c r="CL61" s="176">
        <f t="shared" si="0"/>
      </c>
      <c r="CM61" s="189" t="str">
        <f t="shared" si="1"/>
        <v>Apr-2014</v>
      </c>
    </row>
    <row r="62" spans="7:91" ht="33" hidden="1">
      <c r="G62" s="176">
        <f t="shared" si="12"/>
        <v>8</v>
      </c>
      <c r="H62" s="290" t="s">
        <v>711</v>
      </c>
      <c r="I62" s="290" t="s">
        <v>707</v>
      </c>
      <c r="J62" s="290" t="s">
        <v>724</v>
      </c>
      <c r="K62" s="290" t="s">
        <v>705</v>
      </c>
      <c r="L62" s="290" t="s">
        <v>708</v>
      </c>
      <c r="M62" s="290" t="s">
        <v>706</v>
      </c>
      <c r="N62" s="290" t="s">
        <v>715</v>
      </c>
      <c r="O62" s="290"/>
      <c r="P62" s="176" t="s">
        <v>723</v>
      </c>
      <c r="T62" s="219"/>
      <c r="U62" s="219">
        <v>8</v>
      </c>
      <c r="V62" s="219" t="s">
        <v>585</v>
      </c>
      <c r="W62" s="219" t="s">
        <v>594</v>
      </c>
      <c r="X62" s="288"/>
      <c r="Z62" s="176">
        <v>8</v>
      </c>
      <c r="AA62" s="176" t="s">
        <v>142</v>
      </c>
      <c r="AB62" s="176" t="s">
        <v>553</v>
      </c>
      <c r="AC62" s="176">
        <v>8</v>
      </c>
      <c r="AD62" s="200" t="s">
        <v>21</v>
      </c>
      <c r="AE62" s="176" t="str">
        <f aca="true" t="shared" si="14" ref="AE62:AE67">AD62&amp;"-2014"</f>
        <v>Jan-2014</v>
      </c>
      <c r="AF62" s="176">
        <v>8</v>
      </c>
      <c r="AG62" s="176">
        <v>5</v>
      </c>
      <c r="AH62" s="176" t="s">
        <v>5</v>
      </c>
      <c r="AI62" s="189">
        <v>2</v>
      </c>
      <c r="AJ62" s="189" t="str">
        <f>VLOOKUP(AI62,AI63:AJ64,2,0)</f>
        <v>TS</v>
      </c>
      <c r="AQ62" s="176">
        <v>9</v>
      </c>
      <c r="AR62" s="176" t="s">
        <v>23</v>
      </c>
      <c r="AS62" s="2">
        <v>9</v>
      </c>
      <c r="AT62" s="2" t="str">
        <f aca="true" t="shared" si="15" ref="AT62:AT71">AR62&amp;"-2014"</f>
        <v>Mar-2014</v>
      </c>
      <c r="AU62" s="1">
        <v>13660</v>
      </c>
      <c r="AV62" s="1">
        <v>14050</v>
      </c>
      <c r="AW62" s="1">
        <v>14440</v>
      </c>
      <c r="AY62" s="5">
        <v>28940</v>
      </c>
      <c r="AZ62" s="4">
        <v>29760</v>
      </c>
      <c r="BA62" s="4">
        <v>30580</v>
      </c>
      <c r="BC62" s="176">
        <v>10</v>
      </c>
      <c r="BD62" s="176" t="str">
        <f t="shared" si="11"/>
        <v>Mar-2014</v>
      </c>
      <c r="BF62" s="176">
        <v>2</v>
      </c>
      <c r="BG62" s="176" t="str">
        <f>IF(BC52=0,"",IF($BC$52=1,"","30 Days"))</f>
        <v>30 Days</v>
      </c>
      <c r="BH62" s="176">
        <f>BF62</f>
        <v>2</v>
      </c>
      <c r="BI62" s="176">
        <f>IF($BC$52=1,"",IF($BG$65=1,"",BG62))</f>
      </c>
      <c r="BK62" s="176">
        <v>2</v>
      </c>
      <c r="BL62" s="176" t="str">
        <f>BL53</f>
        <v>Increment</v>
      </c>
      <c r="BO62" s="176">
        <v>11</v>
      </c>
      <c r="BP62" s="176">
        <f t="shared" si="2"/>
      </c>
      <c r="BQ62" s="176" t="str">
        <f t="shared" si="3"/>
        <v>Apr-2014</v>
      </c>
      <c r="BU62" s="176">
        <f t="shared" si="4"/>
      </c>
      <c r="BV62" s="176" t="str">
        <f t="shared" si="5"/>
        <v>Apr-2014</v>
      </c>
      <c r="BZ62" s="176">
        <f t="shared" si="6"/>
      </c>
      <c r="CA62" s="176">
        <f t="shared" si="10"/>
      </c>
      <c r="CF62" s="176">
        <f t="shared" si="7"/>
      </c>
      <c r="CG62" s="176">
        <f t="shared" si="8"/>
      </c>
      <c r="CL62" s="176">
        <f t="shared" si="0"/>
      </c>
      <c r="CM62" s="189" t="str">
        <f t="shared" si="1"/>
        <v>May-2014</v>
      </c>
    </row>
    <row r="63" spans="7:91" ht="33" hidden="1">
      <c r="G63" s="176">
        <f t="shared" si="12"/>
        <v>9</v>
      </c>
      <c r="H63" s="290" t="s">
        <v>711</v>
      </c>
      <c r="I63" s="290" t="s">
        <v>707</v>
      </c>
      <c r="J63" s="290" t="s">
        <v>724</v>
      </c>
      <c r="K63" s="290" t="s">
        <v>705</v>
      </c>
      <c r="L63" s="290" t="s">
        <v>708</v>
      </c>
      <c r="M63" s="290" t="s">
        <v>706</v>
      </c>
      <c r="N63" s="290" t="s">
        <v>715</v>
      </c>
      <c r="O63" s="290"/>
      <c r="P63" s="176" t="s">
        <v>723</v>
      </c>
      <c r="T63" s="219"/>
      <c r="U63" s="219">
        <v>9</v>
      </c>
      <c r="V63" s="219" t="s">
        <v>586</v>
      </c>
      <c r="W63" s="219" t="s">
        <v>595</v>
      </c>
      <c r="X63" s="288"/>
      <c r="Z63" s="176">
        <v>9</v>
      </c>
      <c r="AA63" s="176" t="s">
        <v>143</v>
      </c>
      <c r="AB63" s="176" t="s">
        <v>554</v>
      </c>
      <c r="AC63" s="176">
        <v>9</v>
      </c>
      <c r="AD63" s="200" t="s">
        <v>22</v>
      </c>
      <c r="AE63" s="176" t="str">
        <f t="shared" si="14"/>
        <v>Feb-2014</v>
      </c>
      <c r="AF63" s="176">
        <v>9</v>
      </c>
      <c r="AG63" s="176">
        <v>6</v>
      </c>
      <c r="AH63" s="176" t="s">
        <v>144</v>
      </c>
      <c r="AI63" s="176">
        <v>1</v>
      </c>
      <c r="AJ63" s="176" t="s">
        <v>200</v>
      </c>
      <c r="AQ63" s="176">
        <v>10</v>
      </c>
      <c r="AR63" s="176" t="s">
        <v>24</v>
      </c>
      <c r="AS63" s="2">
        <v>10</v>
      </c>
      <c r="AT63" s="2" t="str">
        <f t="shared" si="15"/>
        <v>Apr-2014</v>
      </c>
      <c r="AU63" s="1">
        <v>14050</v>
      </c>
      <c r="AV63" s="1">
        <v>14440</v>
      </c>
      <c r="AW63" s="1">
        <v>14860</v>
      </c>
      <c r="AY63" s="4">
        <v>29760</v>
      </c>
      <c r="AZ63" s="4">
        <v>30580</v>
      </c>
      <c r="BA63" s="4">
        <v>31460</v>
      </c>
      <c r="BC63" s="176">
        <v>11</v>
      </c>
      <c r="BD63" s="176" t="str">
        <f t="shared" si="11"/>
        <v>Apr-2014</v>
      </c>
      <c r="BK63" s="176">
        <f>IF(BL63="","",3)</f>
        <v>3</v>
      </c>
      <c r="BL63" s="176" t="str">
        <f>IF(BK51=3,"",IF(OR(BK51=4,BK51=5),"",BL54))</f>
        <v>AAS(6/12/18/24Years)</v>
      </c>
      <c r="BO63" s="176">
        <v>12</v>
      </c>
      <c r="BP63" s="176">
        <f t="shared" si="2"/>
      </c>
      <c r="BQ63" s="176" t="str">
        <f t="shared" si="3"/>
        <v>May-2014</v>
      </c>
      <c r="BU63" s="176">
        <f t="shared" si="4"/>
      </c>
      <c r="BV63" s="176" t="str">
        <f t="shared" si="5"/>
        <v>May-2014</v>
      </c>
      <c r="BZ63" s="176">
        <f t="shared" si="6"/>
      </c>
      <c r="CA63" s="176">
        <f t="shared" si="10"/>
      </c>
      <c r="CF63" s="176">
        <f t="shared" si="7"/>
      </c>
      <c r="CG63" s="176">
        <f t="shared" si="8"/>
      </c>
      <c r="CL63" s="176">
        <f t="shared" si="0"/>
      </c>
      <c r="CM63" s="189" t="str">
        <f t="shared" si="1"/>
        <v>Jun-2014</v>
      </c>
    </row>
    <row r="64" spans="8:91" ht="33" hidden="1">
      <c r="H64" s="290"/>
      <c r="I64" s="290"/>
      <c r="J64" s="290"/>
      <c r="K64" s="290"/>
      <c r="L64" s="290"/>
      <c r="M64" s="290"/>
      <c r="N64" s="290"/>
      <c r="O64" s="290"/>
      <c r="T64" s="219"/>
      <c r="U64" s="219">
        <v>10</v>
      </c>
      <c r="V64" s="219" t="s">
        <v>138</v>
      </c>
      <c r="W64" s="219" t="s">
        <v>138</v>
      </c>
      <c r="X64" s="288"/>
      <c r="Z64" s="176">
        <v>10</v>
      </c>
      <c r="AA64" s="176" t="s">
        <v>5</v>
      </c>
      <c r="AB64" s="176" t="s">
        <v>555</v>
      </c>
      <c r="AC64" s="176">
        <v>10</v>
      </c>
      <c r="AD64" s="200" t="s">
        <v>23</v>
      </c>
      <c r="AE64" s="176" t="str">
        <f t="shared" si="14"/>
        <v>Mar-2014</v>
      </c>
      <c r="AF64" s="176">
        <v>10</v>
      </c>
      <c r="AG64" s="176">
        <v>7</v>
      </c>
      <c r="AH64" s="176" t="s">
        <v>145</v>
      </c>
      <c r="AI64" s="176">
        <v>2</v>
      </c>
      <c r="AJ64" s="176" t="s">
        <v>201</v>
      </c>
      <c r="AQ64" s="176">
        <v>11</v>
      </c>
      <c r="AR64" s="176" t="s">
        <v>25</v>
      </c>
      <c r="AS64" s="2">
        <v>11</v>
      </c>
      <c r="AT64" s="2" t="str">
        <f t="shared" si="15"/>
        <v>May-2014</v>
      </c>
      <c r="AU64" s="1">
        <v>14440</v>
      </c>
      <c r="AV64" s="1">
        <v>14860</v>
      </c>
      <c r="AW64" s="1">
        <v>15280</v>
      </c>
      <c r="AY64" s="4">
        <v>30580</v>
      </c>
      <c r="AZ64" s="4">
        <v>31460</v>
      </c>
      <c r="BA64" s="4">
        <v>32340</v>
      </c>
      <c r="BC64" s="176">
        <v>12</v>
      </c>
      <c r="BD64" s="176" t="str">
        <f t="shared" si="11"/>
        <v>May-2014</v>
      </c>
      <c r="BG64" s="176" t="s">
        <v>90</v>
      </c>
      <c r="BK64" s="176">
        <f>IF(BL64="","",4)</f>
        <v>4</v>
      </c>
      <c r="BL64" s="176" t="str">
        <f>IF(OR(BK51=4,BK51=5),"",BL55)</f>
        <v>Promotion FR22(B)</v>
      </c>
      <c r="BO64" s="176">
        <v>13</v>
      </c>
      <c r="BP64" s="176">
        <f t="shared" si="2"/>
      </c>
      <c r="BQ64" s="176" t="str">
        <f t="shared" si="3"/>
        <v>Jun-2014</v>
      </c>
      <c r="BU64" s="176">
        <f t="shared" si="4"/>
      </c>
      <c r="BV64" s="176" t="str">
        <f t="shared" si="5"/>
        <v>Jun-2014</v>
      </c>
      <c r="BZ64" s="176">
        <f t="shared" si="6"/>
      </c>
      <c r="CA64" s="176">
        <f t="shared" si="10"/>
      </c>
      <c r="CF64" s="176">
        <f t="shared" si="7"/>
      </c>
      <c r="CG64" s="176">
        <f t="shared" si="8"/>
      </c>
      <c r="CL64" s="176">
        <f t="shared" si="0"/>
      </c>
      <c r="CM64" s="189" t="str">
        <f t="shared" si="1"/>
        <v>Jul-2014</v>
      </c>
    </row>
    <row r="65" spans="20:91" ht="33" hidden="1">
      <c r="T65" s="219"/>
      <c r="U65" s="219"/>
      <c r="V65" s="219"/>
      <c r="W65" s="219"/>
      <c r="X65" s="288"/>
      <c r="Z65" s="176">
        <v>11</v>
      </c>
      <c r="AA65" s="176" t="s">
        <v>144</v>
      </c>
      <c r="AB65" s="176" t="s">
        <v>556</v>
      </c>
      <c r="AC65" s="176">
        <v>11</v>
      </c>
      <c r="AD65" s="200" t="s">
        <v>24</v>
      </c>
      <c r="AE65" s="176" t="str">
        <f t="shared" si="14"/>
        <v>Apr-2014</v>
      </c>
      <c r="AF65" s="176">
        <v>11</v>
      </c>
      <c r="AG65" s="176">
        <v>8</v>
      </c>
      <c r="AH65" s="176" t="s">
        <v>146</v>
      </c>
      <c r="AQ65" s="176">
        <v>12</v>
      </c>
      <c r="AR65" s="176" t="s">
        <v>14</v>
      </c>
      <c r="AS65" s="2">
        <v>12</v>
      </c>
      <c r="AT65" s="2" t="str">
        <f t="shared" si="15"/>
        <v>Jun-2014</v>
      </c>
      <c r="AU65" s="1">
        <v>14860</v>
      </c>
      <c r="AV65" s="1">
        <v>15280</v>
      </c>
      <c r="AW65" s="1">
        <v>15700</v>
      </c>
      <c r="AY65" s="4">
        <v>31460</v>
      </c>
      <c r="AZ65" s="4">
        <v>32340</v>
      </c>
      <c r="BA65" s="4">
        <v>33220</v>
      </c>
      <c r="BC65" s="176">
        <v>13</v>
      </c>
      <c r="BD65" s="176" t="str">
        <f t="shared" si="11"/>
        <v>Jun-2014</v>
      </c>
      <c r="BF65" s="314">
        <f>BG65+12</f>
        <v>13</v>
      </c>
      <c r="BG65" s="189">
        <v>1</v>
      </c>
      <c r="BH65" s="189" t="str">
        <f>VLOOKUP(BG65,BG66:BH86,2,0)</f>
        <v>Not Availed</v>
      </c>
      <c r="BK65" s="176">
        <f>IF(BL65="","",5)</f>
        <v>5</v>
      </c>
      <c r="BL65" s="176" t="str">
        <f>IF(BK51=5,BL55,IF(OR(BK51=4,BK51=5),"",BL56))</f>
        <v>Promotion FR22(a)i</v>
      </c>
      <c r="BO65" s="176">
        <v>14</v>
      </c>
      <c r="BP65" s="176">
        <f t="shared" si="2"/>
      </c>
      <c r="BQ65" s="176" t="str">
        <f t="shared" si="3"/>
        <v>Jul-2014</v>
      </c>
      <c r="BU65" s="176">
        <f t="shared" si="4"/>
      </c>
      <c r="BV65" s="176" t="str">
        <f t="shared" si="5"/>
        <v>Jul-2014</v>
      </c>
      <c r="BZ65" s="176">
        <f t="shared" si="6"/>
      </c>
      <c r="CA65" s="176">
        <f t="shared" si="10"/>
      </c>
      <c r="CF65" s="176">
        <f t="shared" si="7"/>
      </c>
      <c r="CG65" s="176">
        <f t="shared" si="8"/>
      </c>
      <c r="CL65" s="176">
        <f t="shared" si="0"/>
      </c>
      <c r="CM65" s="189" t="str">
        <f t="shared" si="1"/>
        <v>Aug-2014</v>
      </c>
    </row>
    <row r="66" spans="20:91" ht="33" hidden="1">
      <c r="T66" s="219"/>
      <c r="U66" s="219"/>
      <c r="V66" s="219"/>
      <c r="W66" s="219"/>
      <c r="X66" s="288"/>
      <c r="Z66" s="176">
        <v>12</v>
      </c>
      <c r="AA66" s="176" t="s">
        <v>145</v>
      </c>
      <c r="AB66" s="176" t="s">
        <v>557</v>
      </c>
      <c r="AC66" s="176">
        <v>12</v>
      </c>
      <c r="AD66" s="200" t="s">
        <v>25</v>
      </c>
      <c r="AE66" s="176" t="str">
        <f t="shared" si="14"/>
        <v>May-2014</v>
      </c>
      <c r="AF66" s="176">
        <v>12</v>
      </c>
      <c r="AG66" s="176">
        <v>9</v>
      </c>
      <c r="AH66" s="176" t="s">
        <v>148</v>
      </c>
      <c r="AR66" s="176" t="s">
        <v>15</v>
      </c>
      <c r="AS66" s="2">
        <v>13</v>
      </c>
      <c r="AT66" s="2" t="str">
        <f t="shared" si="15"/>
        <v>Jul-2014</v>
      </c>
      <c r="AU66" s="1">
        <v>15280</v>
      </c>
      <c r="AV66" s="1">
        <v>15700</v>
      </c>
      <c r="AW66" s="1">
        <v>16150</v>
      </c>
      <c r="AY66" s="4">
        <v>32340</v>
      </c>
      <c r="AZ66" s="4">
        <v>33220</v>
      </c>
      <c r="BA66" s="4">
        <v>34170</v>
      </c>
      <c r="BC66" s="176">
        <v>14</v>
      </c>
      <c r="BD66" s="176" t="str">
        <f t="shared" si="11"/>
        <v>Jul-2014</v>
      </c>
      <c r="BG66" s="176">
        <f>IF($BC$52=1,"",BC53)</f>
        <v>1</v>
      </c>
      <c r="BH66" s="176" t="str">
        <f>IF($BC$52=1,"",BD53)</f>
        <v>Not Availed</v>
      </c>
      <c r="BK66" s="176">
        <f>IF(BL66="","",6)</f>
        <v>6</v>
      </c>
      <c r="BL66" s="176" t="str">
        <f>BL57</f>
        <v>FR22(a)I&amp; Incre</v>
      </c>
      <c r="BO66" s="176">
        <v>15</v>
      </c>
      <c r="BP66" s="176">
        <f t="shared" si="2"/>
      </c>
      <c r="BQ66" s="176" t="str">
        <f t="shared" si="3"/>
        <v>Aug-2014</v>
      </c>
      <c r="BU66" s="176">
        <f t="shared" si="4"/>
      </c>
      <c r="BV66" s="176" t="str">
        <f t="shared" si="5"/>
        <v>Aug-2014</v>
      </c>
      <c r="BZ66" s="176">
        <f t="shared" si="6"/>
      </c>
      <c r="CA66" s="176">
        <f t="shared" si="10"/>
      </c>
      <c r="CF66" s="176">
        <f t="shared" si="7"/>
      </c>
      <c r="CG66" s="176">
        <f t="shared" si="8"/>
      </c>
      <c r="CL66" s="176">
        <f t="shared" si="0"/>
      </c>
      <c r="CM66" s="189" t="str">
        <f t="shared" si="1"/>
        <v>Sep-2014</v>
      </c>
    </row>
    <row r="67" spans="20:91" ht="33" hidden="1">
      <c r="T67" s="219"/>
      <c r="U67" s="219"/>
      <c r="V67" s="224" t="str">
        <f>IF(OR(U54=1,U61=7,U58=4,U58=10)," Headmaster ",IF(OR(U58=2,U58=3,U58=5,U58=6)," Mandal Educational Officer "," Municipal Commissioner "))</f>
        <v> Headmaster </v>
      </c>
      <c r="W67" s="219"/>
      <c r="X67" s="288"/>
      <c r="Z67" s="176">
        <v>13</v>
      </c>
      <c r="AA67" s="176" t="s">
        <v>146</v>
      </c>
      <c r="AB67" s="176" t="s">
        <v>558</v>
      </c>
      <c r="AC67" s="176">
        <v>13</v>
      </c>
      <c r="AD67" s="200" t="s">
        <v>14</v>
      </c>
      <c r="AE67" s="176" t="str">
        <f t="shared" si="14"/>
        <v>Jun-2014</v>
      </c>
      <c r="AF67" s="176">
        <v>13</v>
      </c>
      <c r="AG67" s="176">
        <v>10</v>
      </c>
      <c r="AH67" s="176" t="s">
        <v>7</v>
      </c>
      <c r="AR67" s="176" t="s">
        <v>16</v>
      </c>
      <c r="AS67" s="2">
        <v>14</v>
      </c>
      <c r="AT67" s="2" t="str">
        <f t="shared" si="15"/>
        <v>Aug-2014</v>
      </c>
      <c r="AU67" s="1">
        <v>15700</v>
      </c>
      <c r="AV67" s="1">
        <v>16150</v>
      </c>
      <c r="AW67" s="1">
        <v>16600</v>
      </c>
      <c r="AY67" s="4">
        <v>33220</v>
      </c>
      <c r="AZ67" s="4">
        <v>34170</v>
      </c>
      <c r="BA67" s="4">
        <v>35120</v>
      </c>
      <c r="BC67" s="176">
        <v>15</v>
      </c>
      <c r="BD67" s="176" t="str">
        <f t="shared" si="11"/>
        <v>Aug-2014</v>
      </c>
      <c r="BF67" s="314">
        <f>BG67+20</f>
        <v>22</v>
      </c>
      <c r="BG67" s="176">
        <v>2</v>
      </c>
      <c r="BH67" s="176" t="str">
        <f aca="true" t="shared" si="16" ref="BH67:BH84">IF($BC$52=1,"",BD74)</f>
        <v>Mar-2015</v>
      </c>
      <c r="BK67" s="176" t="s">
        <v>88</v>
      </c>
      <c r="BO67" s="176">
        <v>16</v>
      </c>
      <c r="BP67" s="176">
        <f t="shared" si="2"/>
      </c>
      <c r="BQ67" s="176" t="str">
        <f t="shared" si="3"/>
        <v>Sep-2014</v>
      </c>
      <c r="BU67" s="176">
        <f t="shared" si="4"/>
      </c>
      <c r="BV67" s="176" t="str">
        <f t="shared" si="5"/>
        <v>Sep-2014</v>
      </c>
      <c r="BZ67" s="176">
        <f t="shared" si="6"/>
      </c>
      <c r="CA67" s="176">
        <f t="shared" si="10"/>
      </c>
      <c r="CF67" s="176">
        <f t="shared" si="7"/>
      </c>
      <c r="CG67" s="176">
        <f t="shared" si="8"/>
      </c>
      <c r="CL67" s="176">
        <f t="shared" si="0"/>
      </c>
      <c r="CM67" s="189" t="str">
        <f t="shared" si="1"/>
        <v>Oct-2014</v>
      </c>
    </row>
    <row r="68" spans="20:91" ht="33" hidden="1">
      <c r="T68" s="219"/>
      <c r="U68" s="219" t="s">
        <v>2</v>
      </c>
      <c r="V68" s="219"/>
      <c r="W68" s="219"/>
      <c r="X68" s="288"/>
      <c r="Z68" s="176">
        <v>14</v>
      </c>
      <c r="AA68" s="176" t="s">
        <v>148</v>
      </c>
      <c r="AB68" s="176" t="str">
        <f>AA68</f>
        <v>LFL HM</v>
      </c>
      <c r="AF68" s="176">
        <v>14</v>
      </c>
      <c r="AG68" s="176">
        <v>11</v>
      </c>
      <c r="AH68" s="176" t="s">
        <v>147</v>
      </c>
      <c r="AR68" s="176" t="s">
        <v>17</v>
      </c>
      <c r="AS68" s="2">
        <v>15</v>
      </c>
      <c r="AT68" s="2" t="str">
        <f t="shared" si="15"/>
        <v>Sep-2014</v>
      </c>
      <c r="AU68" s="1">
        <v>16150</v>
      </c>
      <c r="AV68" s="1">
        <v>16600</v>
      </c>
      <c r="AW68" s="1">
        <v>17050</v>
      </c>
      <c r="AY68" s="4">
        <v>34170</v>
      </c>
      <c r="AZ68" s="4">
        <v>35120</v>
      </c>
      <c r="BA68" s="5">
        <v>36070</v>
      </c>
      <c r="BC68" s="176">
        <v>16</v>
      </c>
      <c r="BD68" s="176" t="str">
        <f t="shared" si="11"/>
        <v>Sep-2014</v>
      </c>
      <c r="BF68" s="314">
        <f aca="true" t="shared" si="17" ref="BF68:BF86">BG68+20</f>
        <v>23</v>
      </c>
      <c r="BG68" s="176">
        <f>IF($BC$52=1,"",BC55)</f>
        <v>3</v>
      </c>
      <c r="BH68" s="176" t="str">
        <f t="shared" si="16"/>
        <v>Apr-2015</v>
      </c>
      <c r="BO68" s="176">
        <v>17</v>
      </c>
      <c r="BP68" s="176">
        <f t="shared" si="2"/>
      </c>
      <c r="BQ68" s="176" t="str">
        <f t="shared" si="3"/>
        <v>Oct-2014</v>
      </c>
      <c r="BU68" s="176">
        <f t="shared" si="4"/>
      </c>
      <c r="BV68" s="176" t="str">
        <f t="shared" si="5"/>
        <v>Oct-2014</v>
      </c>
      <c r="BZ68" s="176">
        <f t="shared" si="6"/>
      </c>
      <c r="CA68" s="176">
        <f t="shared" si="10"/>
      </c>
      <c r="CF68" s="176">
        <f t="shared" si="7"/>
      </c>
      <c r="CG68" s="176">
        <f t="shared" si="8"/>
      </c>
      <c r="CL68" s="176">
        <f t="shared" si="0"/>
      </c>
      <c r="CM68" s="189" t="str">
        <f t="shared" si="1"/>
        <v>Nov-2014</v>
      </c>
    </row>
    <row r="69" spans="20:91" ht="33" hidden="1">
      <c r="T69" s="219"/>
      <c r="U69" s="219"/>
      <c r="V69" s="219"/>
      <c r="W69" s="219"/>
      <c r="X69" s="288"/>
      <c r="Z69" s="176">
        <v>15</v>
      </c>
      <c r="AA69" s="176" t="s">
        <v>7</v>
      </c>
      <c r="AB69" s="176" t="s">
        <v>559</v>
      </c>
      <c r="AF69" s="176">
        <v>15</v>
      </c>
      <c r="AG69" s="176">
        <v>12</v>
      </c>
      <c r="AH69" s="176" t="s">
        <v>149</v>
      </c>
      <c r="AR69" s="176" t="s">
        <v>18</v>
      </c>
      <c r="AS69" s="2">
        <v>16</v>
      </c>
      <c r="AT69" s="2" t="str">
        <f t="shared" si="15"/>
        <v>Oct-2014</v>
      </c>
      <c r="AU69" s="1">
        <v>16600</v>
      </c>
      <c r="AV69" s="1">
        <v>17050</v>
      </c>
      <c r="AW69" s="1">
        <v>17540</v>
      </c>
      <c r="AY69" s="4">
        <v>35120</v>
      </c>
      <c r="AZ69" s="5">
        <v>36070</v>
      </c>
      <c r="BA69" s="4">
        <v>37100</v>
      </c>
      <c r="BC69" s="176">
        <v>17</v>
      </c>
      <c r="BD69" s="176" t="str">
        <f t="shared" si="11"/>
        <v>Oct-2014</v>
      </c>
      <c r="BF69" s="314">
        <f t="shared" si="17"/>
        <v>24</v>
      </c>
      <c r="BG69" s="176">
        <f>IF($BC$52=1,"",BC56)</f>
        <v>4</v>
      </c>
      <c r="BH69" s="176" t="str">
        <f t="shared" si="16"/>
        <v>May-2015</v>
      </c>
      <c r="BK69" s="189">
        <v>1</v>
      </c>
      <c r="BL69" s="189" t="str">
        <f>VLOOKUP(BK69,BK70:BL75,2,0)</f>
        <v> No Change</v>
      </c>
      <c r="BO69" s="176">
        <v>18</v>
      </c>
      <c r="BP69" s="176">
        <f t="shared" si="2"/>
      </c>
      <c r="BQ69" s="176" t="str">
        <f t="shared" si="3"/>
        <v>Nov-2014</v>
      </c>
      <c r="BU69" s="176">
        <f t="shared" si="4"/>
      </c>
      <c r="BV69" s="176" t="str">
        <f t="shared" si="5"/>
        <v>Nov-2014</v>
      </c>
      <c r="BZ69" s="176">
        <f t="shared" si="6"/>
      </c>
      <c r="CA69" s="176">
        <f t="shared" si="10"/>
      </c>
      <c r="CF69" s="176">
        <f t="shared" si="7"/>
      </c>
      <c r="CG69" s="176">
        <f t="shared" si="8"/>
      </c>
      <c r="CL69" s="176">
        <f t="shared" si="0"/>
      </c>
      <c r="CM69" s="189" t="str">
        <f t="shared" si="1"/>
        <v>Dec-2014</v>
      </c>
    </row>
    <row r="70" spans="20:91" ht="33" hidden="1">
      <c r="T70" s="219"/>
      <c r="U70" s="219">
        <v>1</v>
      </c>
      <c r="V70" s="283" t="s">
        <v>28</v>
      </c>
      <c r="W70" s="219" t="s">
        <v>218</v>
      </c>
      <c r="X70" s="288"/>
      <c r="Z70" s="176">
        <v>16</v>
      </c>
      <c r="AA70" s="176" t="s">
        <v>147</v>
      </c>
      <c r="AB70" s="176" t="s">
        <v>560</v>
      </c>
      <c r="AD70" s="1"/>
      <c r="AF70" s="176">
        <v>16</v>
      </c>
      <c r="AG70" s="176">
        <v>13</v>
      </c>
      <c r="AH70" s="176" t="s">
        <v>8</v>
      </c>
      <c r="AR70" s="176" t="s">
        <v>19</v>
      </c>
      <c r="AS70" s="2">
        <v>17</v>
      </c>
      <c r="AT70" s="2" t="str">
        <f t="shared" si="15"/>
        <v>Nov-2014</v>
      </c>
      <c r="AU70" s="1">
        <v>17050</v>
      </c>
      <c r="AV70" s="1">
        <v>17540</v>
      </c>
      <c r="AW70" s="1">
        <v>18030</v>
      </c>
      <c r="AY70" s="5">
        <v>36070</v>
      </c>
      <c r="AZ70" s="4">
        <v>37100</v>
      </c>
      <c r="BA70" s="4">
        <v>38130</v>
      </c>
      <c r="BC70" s="176">
        <v>18</v>
      </c>
      <c r="BD70" s="176" t="str">
        <f t="shared" si="11"/>
        <v>Nov-2014</v>
      </c>
      <c r="BF70" s="314">
        <f t="shared" si="17"/>
        <v>25</v>
      </c>
      <c r="BG70" s="176">
        <f>IF($BC$52=1,"",BC57)</f>
        <v>5</v>
      </c>
      <c r="BH70" s="176" t="str">
        <f t="shared" si="16"/>
        <v>Jun-2015</v>
      </c>
      <c r="BK70" s="176">
        <v>1</v>
      </c>
      <c r="BL70" s="176" t="str">
        <f>IF(BK60=1," Select Above Option"," No Change")</f>
        <v> No Change</v>
      </c>
      <c r="BO70" s="176">
        <v>19</v>
      </c>
      <c r="BP70" s="176">
        <f t="shared" si="2"/>
      </c>
      <c r="BQ70" s="176" t="str">
        <f t="shared" si="3"/>
        <v>Dec-2014</v>
      </c>
      <c r="BU70" s="176">
        <f t="shared" si="4"/>
      </c>
      <c r="BV70" s="176" t="str">
        <f t="shared" si="5"/>
        <v>Dec-2014</v>
      </c>
      <c r="BZ70" s="176">
        <f t="shared" si="6"/>
      </c>
      <c r="CA70" s="176">
        <f t="shared" si="10"/>
      </c>
      <c r="CF70" s="176">
        <f t="shared" si="7"/>
      </c>
      <c r="CG70" s="176">
        <f t="shared" si="8"/>
      </c>
      <c r="CL70" s="176">
        <f t="shared" si="0"/>
      </c>
      <c r="CM70" s="189" t="str">
        <f t="shared" si="1"/>
        <v>Jan-2015</v>
      </c>
    </row>
    <row r="71" spans="20:91" ht="33" hidden="1">
      <c r="T71" s="219"/>
      <c r="U71" s="219">
        <v>2</v>
      </c>
      <c r="V71" s="283" t="s">
        <v>30</v>
      </c>
      <c r="W71" s="219" t="s">
        <v>613</v>
      </c>
      <c r="X71" s="288"/>
      <c r="Z71" s="176">
        <v>17</v>
      </c>
      <c r="AA71" s="176" t="s">
        <v>149</v>
      </c>
      <c r="AB71" s="176" t="s">
        <v>561</v>
      </c>
      <c r="AD71" s="1"/>
      <c r="AF71" s="176">
        <v>17</v>
      </c>
      <c r="AG71" s="176">
        <v>14</v>
      </c>
      <c r="AH71" s="176" t="s">
        <v>9</v>
      </c>
      <c r="AR71" s="176" t="s">
        <v>20</v>
      </c>
      <c r="AS71" s="2">
        <v>18</v>
      </c>
      <c r="AT71" s="2" t="str">
        <f t="shared" si="15"/>
        <v>Dec-2014</v>
      </c>
      <c r="AU71" s="1">
        <v>17540</v>
      </c>
      <c r="AV71" s="1">
        <v>18030</v>
      </c>
      <c r="AW71" s="1">
        <v>18520</v>
      </c>
      <c r="AY71" s="4">
        <v>37100</v>
      </c>
      <c r="AZ71" s="4">
        <v>38130</v>
      </c>
      <c r="BA71" s="4">
        <v>39160</v>
      </c>
      <c r="BC71" s="176">
        <v>19</v>
      </c>
      <c r="BD71" s="176" t="str">
        <f t="shared" si="11"/>
        <v>Dec-2014</v>
      </c>
      <c r="BF71" s="314">
        <f t="shared" si="17"/>
        <v>26</v>
      </c>
      <c r="BG71" s="176">
        <f>IF($BC$52=1,"",BC58)</f>
        <v>6</v>
      </c>
      <c r="BH71" s="176" t="str">
        <f t="shared" si="16"/>
        <v>Jul-2015</v>
      </c>
      <c r="BK71" s="176">
        <v>2</v>
      </c>
      <c r="BL71" s="176" t="str">
        <f>BL62</f>
        <v>Increment</v>
      </c>
      <c r="BO71" s="176">
        <v>20</v>
      </c>
      <c r="BP71" s="176">
        <f t="shared" si="2"/>
      </c>
      <c r="BQ71" s="176" t="str">
        <f t="shared" si="3"/>
        <v>Jan-2015</v>
      </c>
      <c r="BU71" s="176">
        <f t="shared" si="4"/>
      </c>
      <c r="BV71" s="176" t="str">
        <f t="shared" si="5"/>
        <v>Jan-2015</v>
      </c>
      <c r="BZ71" s="176">
        <f t="shared" si="6"/>
      </c>
      <c r="CA71" s="176">
        <f t="shared" si="10"/>
      </c>
      <c r="CF71" s="176">
        <f t="shared" si="7"/>
      </c>
      <c r="CG71" s="176">
        <f t="shared" si="8"/>
      </c>
      <c r="CL71" s="176">
        <f t="shared" si="0"/>
      </c>
      <c r="CM71" s="189" t="str">
        <f t="shared" si="1"/>
        <v>Feb-2015</v>
      </c>
    </row>
    <row r="72" spans="20:91" ht="33.75" hidden="1" thickBot="1">
      <c r="T72" s="284"/>
      <c r="U72" s="284">
        <v>3</v>
      </c>
      <c r="V72" s="285" t="s">
        <v>32</v>
      </c>
      <c r="W72" s="284" t="s">
        <v>614</v>
      </c>
      <c r="X72" s="289"/>
      <c r="Z72" s="176">
        <v>18</v>
      </c>
      <c r="AA72" s="176" t="s">
        <v>8</v>
      </c>
      <c r="AB72" s="176" t="str">
        <f>AA72</f>
        <v>Headmaster</v>
      </c>
      <c r="AD72" s="1"/>
      <c r="AF72" s="176">
        <v>18</v>
      </c>
      <c r="AG72" s="176">
        <v>15</v>
      </c>
      <c r="AH72" s="176" t="s">
        <v>127</v>
      </c>
      <c r="AR72" s="176" t="s">
        <v>21</v>
      </c>
      <c r="AS72" s="2">
        <v>19</v>
      </c>
      <c r="AT72" s="2" t="str">
        <f>AR72&amp;"-2015"</f>
        <v>Jan-2015</v>
      </c>
      <c r="AU72" s="1">
        <v>18030</v>
      </c>
      <c r="AV72" s="1">
        <v>18520</v>
      </c>
      <c r="AW72" s="1">
        <v>19050</v>
      </c>
      <c r="AY72" s="4">
        <v>38130</v>
      </c>
      <c r="AZ72" s="4">
        <v>39160</v>
      </c>
      <c r="BA72" s="4">
        <v>40270</v>
      </c>
      <c r="BC72" s="176">
        <v>20</v>
      </c>
      <c r="BD72" s="176" t="str">
        <f t="shared" si="11"/>
        <v>Jan-2015</v>
      </c>
      <c r="BF72" s="314">
        <f t="shared" si="17"/>
        <v>27</v>
      </c>
      <c r="BG72" s="176">
        <f>IF($BC$52=1,"",BC59)</f>
        <v>7</v>
      </c>
      <c r="BH72" s="176" t="str">
        <f t="shared" si="16"/>
        <v>Aug-2015</v>
      </c>
      <c r="BK72" s="176">
        <f>IF(BL72="","",3)</f>
        <v>3</v>
      </c>
      <c r="BL72" s="176" t="str">
        <f>IF($BK$60=3,"",IF(OR($BK$60=4,$BK$60=4),"",BL63))</f>
        <v>AAS(6/12/18/24Years)</v>
      </c>
      <c r="BO72" s="176">
        <v>21</v>
      </c>
      <c r="BP72" s="176">
        <f t="shared" si="2"/>
      </c>
      <c r="BQ72" s="176" t="str">
        <f t="shared" si="3"/>
        <v>Feb-2015</v>
      </c>
      <c r="BU72" s="176">
        <f t="shared" si="4"/>
      </c>
      <c r="BV72" s="176" t="str">
        <f t="shared" si="5"/>
        <v>Feb-2015</v>
      </c>
      <c r="BZ72" s="176">
        <f t="shared" si="6"/>
      </c>
      <c r="CA72" s="176">
        <f t="shared" si="10"/>
      </c>
      <c r="CF72" s="176">
        <f t="shared" si="7"/>
      </c>
      <c r="CG72" s="176">
        <f t="shared" si="8"/>
      </c>
      <c r="CL72" s="176">
        <f t="shared" si="0"/>
      </c>
      <c r="CM72" s="189" t="str">
        <f t="shared" si="1"/>
        <v>Mar-2015</v>
      </c>
    </row>
    <row r="73" spans="21:91" ht="19.5" hidden="1" thickTop="1">
      <c r="U73" s="176">
        <v>4</v>
      </c>
      <c r="V73" s="1" t="s">
        <v>36</v>
      </c>
      <c r="W73" s="176" t="s">
        <v>615</v>
      </c>
      <c r="Z73" s="176">
        <v>19</v>
      </c>
      <c r="AA73" s="176" t="s">
        <v>9</v>
      </c>
      <c r="AB73" s="176" t="str">
        <f>AA73</f>
        <v>Headmistress</v>
      </c>
      <c r="AD73" s="1"/>
      <c r="AF73" s="176">
        <v>19</v>
      </c>
      <c r="AR73" s="176" t="s">
        <v>22</v>
      </c>
      <c r="AS73" s="2">
        <v>20</v>
      </c>
      <c r="AT73" s="2" t="str">
        <f>AR73&amp;"-2015"</f>
        <v>Feb-2015</v>
      </c>
      <c r="AU73" s="1">
        <v>18520</v>
      </c>
      <c r="AV73" s="1">
        <v>19050</v>
      </c>
      <c r="AW73" s="1">
        <v>19580</v>
      </c>
      <c r="AY73" s="4">
        <v>39160</v>
      </c>
      <c r="AZ73" s="4">
        <v>40270</v>
      </c>
      <c r="BA73" s="4">
        <v>41380</v>
      </c>
      <c r="BC73" s="176">
        <v>21</v>
      </c>
      <c r="BD73" s="176" t="str">
        <f t="shared" si="11"/>
        <v>Feb-2015</v>
      </c>
      <c r="BF73" s="314">
        <f t="shared" si="17"/>
        <v>28</v>
      </c>
      <c r="BG73" s="176">
        <f aca="true" t="shared" si="18" ref="BG73:BG86">IF($BC$52=1,"",BC60)</f>
        <v>8</v>
      </c>
      <c r="BH73" s="176" t="str">
        <f t="shared" si="16"/>
        <v>Sep-2015</v>
      </c>
      <c r="BK73" s="176">
        <f>IF(BL73="","",BK55)</f>
        <v>4</v>
      </c>
      <c r="BL73" s="176" t="str">
        <f>IF(BK60=4,"",IF(BK60=5,"",BL64))</f>
        <v>Promotion FR22(B)</v>
      </c>
      <c r="BO73" s="176">
        <v>22</v>
      </c>
      <c r="BP73" s="176">
        <f t="shared" si="2"/>
      </c>
      <c r="BQ73" s="176" t="str">
        <f t="shared" si="3"/>
        <v>Mar-2015</v>
      </c>
      <c r="BU73" s="176">
        <f t="shared" si="4"/>
      </c>
      <c r="BV73" s="176" t="str">
        <f t="shared" si="5"/>
        <v>Mar-2015</v>
      </c>
      <c r="BZ73" s="176">
        <f t="shared" si="6"/>
      </c>
      <c r="CA73" s="176">
        <f t="shared" si="10"/>
      </c>
      <c r="CF73" s="176">
        <f t="shared" si="7"/>
      </c>
      <c r="CG73" s="176">
        <f t="shared" si="8"/>
      </c>
      <c r="CL73" s="176">
        <f t="shared" si="0"/>
      </c>
      <c r="CM73" s="189" t="str">
        <f t="shared" si="1"/>
        <v>Apr-2015</v>
      </c>
    </row>
    <row r="74" spans="30:91" ht="18.75" hidden="1">
      <c r="AD74" s="1"/>
      <c r="AF74" s="176">
        <v>20</v>
      </c>
      <c r="AR74" s="176" t="s">
        <v>23</v>
      </c>
      <c r="AS74" s="2">
        <v>21</v>
      </c>
      <c r="AT74" s="2" t="str">
        <f aca="true" t="shared" si="19" ref="AT74:AT83">AR74&amp;"-2015"</f>
        <v>Mar-2015</v>
      </c>
      <c r="AU74" s="1">
        <v>19050</v>
      </c>
      <c r="AV74" s="1">
        <v>19580</v>
      </c>
      <c r="AW74" s="1">
        <v>20110</v>
      </c>
      <c r="AY74" s="4">
        <v>40270</v>
      </c>
      <c r="AZ74" s="4">
        <v>41380</v>
      </c>
      <c r="BA74" s="4">
        <v>42490</v>
      </c>
      <c r="BC74" s="176">
        <v>22</v>
      </c>
      <c r="BD74" s="176" t="str">
        <f t="shared" si="11"/>
        <v>Mar-2015</v>
      </c>
      <c r="BF74" s="314">
        <f t="shared" si="17"/>
        <v>29</v>
      </c>
      <c r="BG74" s="176">
        <f t="shared" si="18"/>
        <v>9</v>
      </c>
      <c r="BH74" s="176" t="str">
        <f t="shared" si="16"/>
        <v>Oct-2015</v>
      </c>
      <c r="BK74" s="176">
        <f>IF(BL74="","",BK56)</f>
        <v>5</v>
      </c>
      <c r="BL74" s="176" t="str">
        <f>IF(OR(BK60=4,BK60=6),"",BL65)</f>
        <v>Promotion FR22(a)i</v>
      </c>
      <c r="BO74" s="176">
        <v>23</v>
      </c>
      <c r="BP74" s="176">
        <f t="shared" si="2"/>
      </c>
      <c r="BQ74" s="176" t="str">
        <f t="shared" si="3"/>
        <v>Apr-2015</v>
      </c>
      <c r="BU74" s="176">
        <f t="shared" si="4"/>
      </c>
      <c r="BV74" s="176" t="str">
        <f t="shared" si="5"/>
        <v>Apr-2015</v>
      </c>
      <c r="BZ74" s="176">
        <f t="shared" si="6"/>
      </c>
      <c r="CA74" s="176">
        <f t="shared" si="10"/>
      </c>
      <c r="CF74" s="176">
        <f t="shared" si="7"/>
      </c>
      <c r="CG74" s="176">
        <f t="shared" si="8"/>
      </c>
      <c r="CL74" s="176">
        <f t="shared" si="0"/>
      </c>
      <c r="CM74" s="189" t="str">
        <f t="shared" si="1"/>
        <v>May-2015</v>
      </c>
    </row>
    <row r="75" spans="21:91" ht="18.75" hidden="1">
      <c r="U75" s="176" t="s">
        <v>616</v>
      </c>
      <c r="AD75" s="1"/>
      <c r="AF75" s="176">
        <v>21</v>
      </c>
      <c r="AR75" s="176" t="s">
        <v>24</v>
      </c>
      <c r="AS75" s="2">
        <v>22</v>
      </c>
      <c r="AT75" s="2" t="str">
        <f t="shared" si="19"/>
        <v>Apr-2015</v>
      </c>
      <c r="AU75" s="1">
        <v>19580</v>
      </c>
      <c r="AV75" s="1">
        <v>20110</v>
      </c>
      <c r="AW75" s="1">
        <v>20680</v>
      </c>
      <c r="AY75" s="4">
        <v>41380</v>
      </c>
      <c r="AZ75" s="4">
        <v>42490</v>
      </c>
      <c r="BA75" s="4">
        <v>43680</v>
      </c>
      <c r="BC75" s="176">
        <v>23</v>
      </c>
      <c r="BD75" s="176" t="str">
        <f t="shared" si="11"/>
        <v>Apr-2015</v>
      </c>
      <c r="BF75" s="314">
        <f t="shared" si="17"/>
        <v>30</v>
      </c>
      <c r="BG75" s="176">
        <f t="shared" si="18"/>
        <v>10</v>
      </c>
      <c r="BH75" s="176" t="str">
        <f t="shared" si="16"/>
        <v>Nov-2015</v>
      </c>
      <c r="BK75" s="176">
        <f>BK57</f>
        <v>6</v>
      </c>
      <c r="BL75" s="176" t="str">
        <f>IF(OR(BK60=6,BK60=4),"",BL66)</f>
        <v>FR22(a)I&amp; Incre</v>
      </c>
      <c r="BO75" s="176">
        <v>24</v>
      </c>
      <c r="BP75" s="176">
        <f t="shared" si="2"/>
      </c>
      <c r="BQ75" s="176" t="str">
        <f t="shared" si="3"/>
        <v>May-2015</v>
      </c>
      <c r="BU75" s="176">
        <f t="shared" si="4"/>
      </c>
      <c r="BV75" s="176" t="str">
        <f t="shared" si="5"/>
        <v>May-2015</v>
      </c>
      <c r="BZ75" s="176">
        <f t="shared" si="6"/>
      </c>
      <c r="CA75" s="176">
        <f t="shared" si="10"/>
      </c>
      <c r="CF75" s="176">
        <f t="shared" si="7"/>
      </c>
      <c r="CG75" s="176">
        <f t="shared" si="8"/>
      </c>
      <c r="CL75" s="176">
        <f t="shared" si="0"/>
      </c>
      <c r="CM75" s="189" t="str">
        <f t="shared" si="1"/>
        <v>Jun-2015</v>
      </c>
    </row>
    <row r="76" spans="21:91" ht="18.75" hidden="1">
      <c r="U76" s="176">
        <v>1</v>
      </c>
      <c r="V76" s="1" t="s">
        <v>32</v>
      </c>
      <c r="W76" s="176" t="s">
        <v>218</v>
      </c>
      <c r="Z76" s="201" t="str">
        <f>IF(AND(Z53&gt;=1,Z53&lt;=5),VLOOKUP(AA78,V70:W73,2,0),IF(AND(Z53&gt;=6,Z53&lt;=17),VLOOKUP(AA78,V76:W78,2,0),IF(AND(Z53&gt;=18,Z53&lt;=19),VLOOKUP(AA78,V81:W82,2,0),"")))</f>
        <v>Ordinary</v>
      </c>
      <c r="AA76" s="201"/>
      <c r="AB76" s="201"/>
      <c r="AC76" s="201"/>
      <c r="AF76" s="176">
        <v>22</v>
      </c>
      <c r="AR76" s="176" t="s">
        <v>25</v>
      </c>
      <c r="AS76" s="2">
        <v>23</v>
      </c>
      <c r="AT76" s="2" t="str">
        <f t="shared" si="19"/>
        <v>May-2015</v>
      </c>
      <c r="AU76" s="1">
        <v>20110</v>
      </c>
      <c r="AV76" s="1">
        <v>20680</v>
      </c>
      <c r="AW76" s="1">
        <v>21250</v>
      </c>
      <c r="AY76" s="4">
        <v>42490</v>
      </c>
      <c r="AZ76" s="4">
        <v>43680</v>
      </c>
      <c r="BA76" s="4">
        <v>44870</v>
      </c>
      <c r="BC76" s="176">
        <v>24</v>
      </c>
      <c r="BD76" s="176" t="str">
        <f t="shared" si="11"/>
        <v>May-2015</v>
      </c>
      <c r="BF76" s="314">
        <f t="shared" si="17"/>
        <v>31</v>
      </c>
      <c r="BG76" s="176">
        <f t="shared" si="18"/>
        <v>11</v>
      </c>
      <c r="BH76" s="176" t="str">
        <f t="shared" si="16"/>
        <v>Dec-2015</v>
      </c>
      <c r="BO76" s="176">
        <v>25</v>
      </c>
      <c r="BP76" s="176">
        <f t="shared" si="2"/>
      </c>
      <c r="BQ76" s="176" t="str">
        <f t="shared" si="3"/>
        <v>Jun-2015</v>
      </c>
      <c r="BU76" s="176">
        <f t="shared" si="4"/>
      </c>
      <c r="BV76" s="176" t="str">
        <f t="shared" si="5"/>
        <v>Jun-2015</v>
      </c>
      <c r="BZ76" s="176">
        <f t="shared" si="6"/>
      </c>
      <c r="CA76" s="176">
        <f t="shared" si="10"/>
      </c>
      <c r="CF76" s="176">
        <f t="shared" si="7"/>
      </c>
      <c r="CG76" s="176">
        <f t="shared" si="8"/>
      </c>
      <c r="CL76" s="176">
        <f t="shared" si="0"/>
      </c>
      <c r="CM76" s="189" t="str">
        <f t="shared" si="1"/>
        <v>Jul-2015</v>
      </c>
    </row>
    <row r="77" spans="21:91" ht="18.75" hidden="1">
      <c r="U77" s="176">
        <v>2</v>
      </c>
      <c r="V77" s="1" t="s">
        <v>34</v>
      </c>
      <c r="W77" s="176" t="s">
        <v>613</v>
      </c>
      <c r="AF77" s="176">
        <v>23</v>
      </c>
      <c r="AR77" s="176" t="s">
        <v>14</v>
      </c>
      <c r="AS77" s="2">
        <v>24</v>
      </c>
      <c r="AT77" s="2" t="str">
        <f t="shared" si="19"/>
        <v>Jun-2015</v>
      </c>
      <c r="AU77" s="1">
        <v>20680</v>
      </c>
      <c r="AV77" s="1">
        <v>21250</v>
      </c>
      <c r="AW77" s="1">
        <v>21820</v>
      </c>
      <c r="AY77" s="4">
        <v>43680</v>
      </c>
      <c r="AZ77" s="4">
        <v>44870</v>
      </c>
      <c r="BA77" s="4">
        <v>46060</v>
      </c>
      <c r="BC77" s="176">
        <v>25</v>
      </c>
      <c r="BD77" s="176" t="str">
        <f t="shared" si="11"/>
        <v>Jun-2015</v>
      </c>
      <c r="BF77" s="314">
        <f t="shared" si="17"/>
        <v>32</v>
      </c>
      <c r="BG77" s="176">
        <f t="shared" si="18"/>
        <v>12</v>
      </c>
      <c r="BH77" s="176" t="str">
        <f t="shared" si="16"/>
        <v>Jan-2015</v>
      </c>
      <c r="BK77" s="176" t="s">
        <v>89</v>
      </c>
      <c r="BO77" s="176">
        <v>26</v>
      </c>
      <c r="BP77" s="176">
        <f t="shared" si="2"/>
      </c>
      <c r="BQ77" s="176" t="str">
        <f t="shared" si="3"/>
        <v>Jul-2015</v>
      </c>
      <c r="BU77" s="176">
        <f t="shared" si="4"/>
      </c>
      <c r="BV77" s="176" t="str">
        <f t="shared" si="5"/>
        <v>Jul-2015</v>
      </c>
      <c r="BZ77" s="176">
        <f t="shared" si="6"/>
      </c>
      <c r="CA77" s="176">
        <f t="shared" si="10"/>
      </c>
      <c r="CF77" s="176">
        <f t="shared" si="7"/>
      </c>
      <c r="CG77" s="176">
        <f t="shared" si="8"/>
      </c>
      <c r="CL77" s="176">
        <f t="shared" si="0"/>
      </c>
      <c r="CM77" s="189" t="str">
        <f t="shared" si="1"/>
        <v>Aug-2015</v>
      </c>
    </row>
    <row r="78" spans="21:91" ht="18.75" hidden="1">
      <c r="U78" s="176">
        <v>3</v>
      </c>
      <c r="V78" s="1" t="s">
        <v>36</v>
      </c>
      <c r="W78" s="176" t="s">
        <v>614</v>
      </c>
      <c r="Z78" s="189">
        <v>3</v>
      </c>
      <c r="AA78" s="189" t="str">
        <f>INDEX(oldscales,Z78)</f>
        <v>14860-39540</v>
      </c>
      <c r="AC78" s="189" t="str">
        <f>INDEX(newscales,Z78)</f>
        <v>28940-78910</v>
      </c>
      <c r="AF78" s="176">
        <v>24</v>
      </c>
      <c r="AR78" s="176" t="s">
        <v>15</v>
      </c>
      <c r="AS78" s="2">
        <v>25</v>
      </c>
      <c r="AT78" s="2" t="str">
        <f t="shared" si="19"/>
        <v>Jul-2015</v>
      </c>
      <c r="AU78" s="1">
        <v>21250</v>
      </c>
      <c r="AV78" s="1">
        <v>21820</v>
      </c>
      <c r="AW78" s="1">
        <v>22430</v>
      </c>
      <c r="AY78" s="4">
        <v>44870</v>
      </c>
      <c r="AZ78" s="4">
        <v>46060</v>
      </c>
      <c r="BA78" s="4">
        <v>47330</v>
      </c>
      <c r="BC78" s="176">
        <v>26</v>
      </c>
      <c r="BD78" s="176" t="str">
        <f t="shared" si="11"/>
        <v>Jul-2015</v>
      </c>
      <c r="BF78" s="314">
        <f t="shared" si="17"/>
        <v>33</v>
      </c>
      <c r="BG78" s="176">
        <f t="shared" si="18"/>
        <v>13</v>
      </c>
      <c r="BH78" s="176" t="str">
        <f t="shared" si="16"/>
        <v>Feb-2016</v>
      </c>
      <c r="BK78" s="189">
        <v>1</v>
      </c>
      <c r="BL78" s="189" t="str">
        <f>VLOOKUP(BK78,BK79:BL84,2,0)</f>
        <v> Select Above Option</v>
      </c>
      <c r="BM78" s="189"/>
      <c r="BN78" s="189"/>
      <c r="BO78" s="176">
        <v>27</v>
      </c>
      <c r="BP78" s="176">
        <f t="shared" si="2"/>
      </c>
      <c r="BQ78" s="176" t="str">
        <f t="shared" si="3"/>
        <v>Aug-2015</v>
      </c>
      <c r="BU78" s="176">
        <f t="shared" si="4"/>
      </c>
      <c r="BV78" s="176" t="str">
        <f t="shared" si="5"/>
        <v>Aug-2015</v>
      </c>
      <c r="BZ78" s="176">
        <f t="shared" si="6"/>
      </c>
      <c r="CA78" s="176">
        <f t="shared" si="10"/>
      </c>
      <c r="CF78" s="176">
        <f t="shared" si="7"/>
      </c>
      <c r="CG78" s="176">
        <f t="shared" si="8"/>
      </c>
      <c r="CL78" s="176">
        <f t="shared" si="0"/>
      </c>
      <c r="CM78" s="189" t="str">
        <f t="shared" si="1"/>
        <v>Sep-2015</v>
      </c>
    </row>
    <row r="79" spans="26:91" ht="18.75" hidden="1">
      <c r="Z79" s="176">
        <v>1</v>
      </c>
      <c r="AA79" s="1" t="s">
        <v>28</v>
      </c>
      <c r="AB79" s="1" t="s">
        <v>30</v>
      </c>
      <c r="AC79" s="1" t="s">
        <v>29</v>
      </c>
      <c r="AF79" s="176">
        <v>25</v>
      </c>
      <c r="AR79" s="176" t="s">
        <v>16</v>
      </c>
      <c r="AS79" s="2">
        <v>26</v>
      </c>
      <c r="AT79" s="2" t="str">
        <f t="shared" si="19"/>
        <v>Aug-2015</v>
      </c>
      <c r="AU79" s="1">
        <v>21820</v>
      </c>
      <c r="AV79" s="1">
        <v>22430</v>
      </c>
      <c r="AW79" s="1">
        <v>23040</v>
      </c>
      <c r="AY79" s="4">
        <v>46060</v>
      </c>
      <c r="AZ79" s="4">
        <v>47330</v>
      </c>
      <c r="BA79" s="4">
        <v>48600</v>
      </c>
      <c r="BC79" s="176">
        <v>27</v>
      </c>
      <c r="BD79" s="176" t="str">
        <f t="shared" si="11"/>
        <v>Aug-2015</v>
      </c>
      <c r="BF79" s="314">
        <f t="shared" si="17"/>
        <v>34</v>
      </c>
      <c r="BG79" s="176">
        <f t="shared" si="18"/>
        <v>14</v>
      </c>
      <c r="BH79" s="176" t="str">
        <f t="shared" si="16"/>
        <v>Mar-2016</v>
      </c>
      <c r="BK79" s="176">
        <f>BK70</f>
        <v>1</v>
      </c>
      <c r="BL79" s="176" t="str">
        <f>IF(BK69=1," Select Above Option"," No Change")</f>
        <v> Select Above Option</v>
      </c>
      <c r="BO79" s="176">
        <v>28</v>
      </c>
      <c r="BP79" s="176">
        <f t="shared" si="2"/>
      </c>
      <c r="BQ79" s="176" t="str">
        <f t="shared" si="3"/>
        <v>Sep-2015</v>
      </c>
      <c r="BU79" s="176">
        <f t="shared" si="4"/>
      </c>
      <c r="BV79" s="176" t="str">
        <f t="shared" si="5"/>
        <v>Sep-2015</v>
      </c>
      <c r="BZ79" s="176">
        <f t="shared" si="6"/>
      </c>
      <c r="CA79" s="176">
        <f t="shared" si="10"/>
      </c>
      <c r="CF79" s="176">
        <f t="shared" si="7"/>
      </c>
      <c r="CG79" s="176">
        <f t="shared" si="8"/>
      </c>
      <c r="CL79" s="176">
        <f t="shared" si="0"/>
      </c>
      <c r="CM79" s="189" t="str">
        <f t="shared" si="1"/>
        <v>Oct-2015</v>
      </c>
    </row>
    <row r="80" spans="21:91" ht="18.75" hidden="1">
      <c r="U80" s="176" t="s">
        <v>617</v>
      </c>
      <c r="Z80" s="176">
        <v>2</v>
      </c>
      <c r="AA80" s="1" t="s">
        <v>30</v>
      </c>
      <c r="AB80" s="1" t="s">
        <v>32</v>
      </c>
      <c r="AC80" s="1" t="s">
        <v>31</v>
      </c>
      <c r="AF80" s="176">
        <v>26</v>
      </c>
      <c r="AQ80" s="176">
        <v>1</v>
      </c>
      <c r="AR80" s="176" t="s">
        <v>17</v>
      </c>
      <c r="AS80" s="2">
        <v>27</v>
      </c>
      <c r="AT80" s="2" t="str">
        <f t="shared" si="19"/>
        <v>Sep-2015</v>
      </c>
      <c r="AU80" s="1">
        <v>22430</v>
      </c>
      <c r="AV80" s="1">
        <v>23040</v>
      </c>
      <c r="AW80" s="1">
        <v>23650</v>
      </c>
      <c r="AY80" s="4">
        <v>47330</v>
      </c>
      <c r="AZ80" s="4">
        <v>48600</v>
      </c>
      <c r="BA80" s="4">
        <v>49870</v>
      </c>
      <c r="BC80" s="176">
        <v>28</v>
      </c>
      <c r="BD80" s="176" t="str">
        <f t="shared" si="11"/>
        <v>Sep-2015</v>
      </c>
      <c r="BF80" s="314">
        <f>BG80+20</f>
        <v>35</v>
      </c>
      <c r="BG80" s="176">
        <f t="shared" si="18"/>
        <v>15</v>
      </c>
      <c r="BH80" s="176" t="str">
        <f t="shared" si="16"/>
        <v>Apr-2016</v>
      </c>
      <c r="BK80" s="176">
        <f>BK71</f>
        <v>2</v>
      </c>
      <c r="BL80" s="176" t="str">
        <f>BL71</f>
        <v>Increment</v>
      </c>
      <c r="BO80" s="176">
        <v>29</v>
      </c>
      <c r="BP80" s="176">
        <f t="shared" si="2"/>
      </c>
      <c r="BQ80" s="176" t="str">
        <f t="shared" si="3"/>
        <v>Oct-2015</v>
      </c>
      <c r="BU80" s="176">
        <f t="shared" si="4"/>
      </c>
      <c r="BV80" s="176" t="str">
        <f t="shared" si="5"/>
        <v>Oct-2015</v>
      </c>
      <c r="BZ80" s="176">
        <f t="shared" si="6"/>
      </c>
      <c r="CA80" s="176">
        <f t="shared" si="10"/>
      </c>
      <c r="CF80" s="176">
        <f t="shared" si="7"/>
      </c>
      <c r="CG80" s="176">
        <f t="shared" si="8"/>
      </c>
      <c r="CL80" s="176">
        <f t="shared" si="0"/>
      </c>
      <c r="CM80" s="189" t="str">
        <f t="shared" si="1"/>
        <v>Nov-2015</v>
      </c>
    </row>
    <row r="81" spans="21:91" ht="18.75" hidden="1">
      <c r="U81" s="176">
        <v>1</v>
      </c>
      <c r="V81" s="1" t="s">
        <v>36</v>
      </c>
      <c r="W81" s="176" t="s">
        <v>218</v>
      </c>
      <c r="Z81" s="176">
        <v>3</v>
      </c>
      <c r="AA81" s="1" t="s">
        <v>32</v>
      </c>
      <c r="AB81" s="1" t="s">
        <v>34</v>
      </c>
      <c r="AC81" s="1" t="s">
        <v>33</v>
      </c>
      <c r="AF81" s="176">
        <v>27</v>
      </c>
      <c r="AQ81" s="176">
        <v>2</v>
      </c>
      <c r="AR81" s="176" t="s">
        <v>18</v>
      </c>
      <c r="AS81" s="2">
        <v>28</v>
      </c>
      <c r="AT81" s="2" t="str">
        <f t="shared" si="19"/>
        <v>Oct-2015</v>
      </c>
      <c r="AU81" s="1">
        <v>23040</v>
      </c>
      <c r="AV81" s="1">
        <v>23650</v>
      </c>
      <c r="AW81" s="1">
        <v>24300</v>
      </c>
      <c r="AY81" s="4">
        <v>48600</v>
      </c>
      <c r="AZ81" s="4">
        <v>49870</v>
      </c>
      <c r="BA81" s="4">
        <v>51230</v>
      </c>
      <c r="BC81" s="176">
        <v>29</v>
      </c>
      <c r="BD81" s="176" t="str">
        <f t="shared" si="11"/>
        <v>Oct-2015</v>
      </c>
      <c r="BF81" s="314">
        <f t="shared" si="17"/>
        <v>36</v>
      </c>
      <c r="BG81" s="176">
        <f t="shared" si="18"/>
        <v>16</v>
      </c>
      <c r="BH81" s="176" t="str">
        <f t="shared" si="16"/>
        <v>May-2016</v>
      </c>
      <c r="BK81" s="176">
        <f>IF(BL81="","",BK72)</f>
        <v>3</v>
      </c>
      <c r="BL81" s="176" t="str">
        <f>IF(OR(BK69=3,BK69=4,BK69=5,BK69=6),"",BL72)</f>
        <v>AAS(6/12/18/24Years)</v>
      </c>
      <c r="BO81" s="176">
        <v>30</v>
      </c>
      <c r="BP81" s="176">
        <f t="shared" si="2"/>
      </c>
      <c r="BQ81" s="176" t="str">
        <f t="shared" si="3"/>
        <v>Nov-2015</v>
      </c>
      <c r="BU81" s="176">
        <f t="shared" si="4"/>
      </c>
      <c r="BV81" s="176" t="str">
        <f t="shared" si="5"/>
        <v>Nov-2015</v>
      </c>
      <c r="BZ81" s="176">
        <f t="shared" si="6"/>
      </c>
      <c r="CA81" s="176">
        <f t="shared" si="10"/>
      </c>
      <c r="CF81" s="176">
        <f t="shared" si="7"/>
      </c>
      <c r="CG81" s="176">
        <f t="shared" si="8"/>
      </c>
      <c r="CL81" s="176">
        <f t="shared" si="0"/>
      </c>
      <c r="CM81" s="189" t="str">
        <f t="shared" si="1"/>
        <v>Dec-2015</v>
      </c>
    </row>
    <row r="82" spans="21:91" ht="18.75" hidden="1">
      <c r="U82" s="176">
        <v>2</v>
      </c>
      <c r="V82" s="1" t="s">
        <v>38</v>
      </c>
      <c r="W82" s="176" t="s">
        <v>613</v>
      </c>
      <c r="Z82" s="176">
        <v>4</v>
      </c>
      <c r="AA82" s="1" t="s">
        <v>34</v>
      </c>
      <c r="AB82" s="1" t="s">
        <v>36</v>
      </c>
      <c r="AC82" s="1" t="s">
        <v>35</v>
      </c>
      <c r="AF82" s="176">
        <v>28</v>
      </c>
      <c r="AQ82" s="176">
        <v>3</v>
      </c>
      <c r="AR82" s="176" t="s">
        <v>19</v>
      </c>
      <c r="AS82" s="2">
        <v>29</v>
      </c>
      <c r="AT82" s="2" t="str">
        <f t="shared" si="19"/>
        <v>Nov-2015</v>
      </c>
      <c r="AU82" s="1">
        <v>23650</v>
      </c>
      <c r="AV82" s="1">
        <v>24300</v>
      </c>
      <c r="AW82" s="3">
        <v>24950</v>
      </c>
      <c r="AY82" s="4">
        <v>49870</v>
      </c>
      <c r="AZ82" s="4">
        <v>51230</v>
      </c>
      <c r="BA82" s="4">
        <v>52590</v>
      </c>
      <c r="BC82" s="176">
        <v>30</v>
      </c>
      <c r="BD82" s="176" t="str">
        <f t="shared" si="11"/>
        <v>Nov-2015</v>
      </c>
      <c r="BF82" s="314">
        <f t="shared" si="17"/>
        <v>37</v>
      </c>
      <c r="BG82" s="176">
        <f t="shared" si="18"/>
        <v>17</v>
      </c>
      <c r="BH82" s="176" t="str">
        <f t="shared" si="16"/>
        <v>Jun-2016</v>
      </c>
      <c r="BK82" s="176">
        <f>IF(BL82="","",BK73)</f>
        <v>4</v>
      </c>
      <c r="BL82" s="176" t="str">
        <f>IF(OR(BK69=4,BK69=5,BK69=6),"",BL73)</f>
        <v>Promotion FR22(B)</v>
      </c>
      <c r="BO82" s="176">
        <v>31</v>
      </c>
      <c r="BP82" s="176">
        <f t="shared" si="2"/>
      </c>
      <c r="BQ82" s="176" t="str">
        <f t="shared" si="3"/>
        <v>Dec-2015</v>
      </c>
      <c r="BU82" s="176">
        <f t="shared" si="4"/>
      </c>
      <c r="BV82" s="176" t="str">
        <f t="shared" si="5"/>
        <v>Dec-2015</v>
      </c>
      <c r="BZ82" s="176">
        <f t="shared" si="6"/>
      </c>
      <c r="CA82" s="176">
        <f t="shared" si="10"/>
      </c>
      <c r="CF82" s="176">
        <f t="shared" si="7"/>
      </c>
      <c r="CG82" s="176">
        <f t="shared" si="8"/>
      </c>
      <c r="CL82" s="176">
        <f t="shared" si="0"/>
      </c>
      <c r="CM82" s="189" t="str">
        <f t="shared" si="1"/>
        <v>Jan-2015</v>
      </c>
    </row>
    <row r="83" spans="26:91" ht="18.75" hidden="1">
      <c r="Z83" s="176">
        <v>5</v>
      </c>
      <c r="AA83" s="1" t="s">
        <v>36</v>
      </c>
      <c r="AB83" s="1" t="s">
        <v>38</v>
      </c>
      <c r="AC83" s="1" t="s">
        <v>37</v>
      </c>
      <c r="AF83" s="176">
        <v>29</v>
      </c>
      <c r="AQ83" s="176">
        <v>4</v>
      </c>
      <c r="AR83" s="176" t="s">
        <v>20</v>
      </c>
      <c r="AS83" s="2">
        <v>30</v>
      </c>
      <c r="AT83" s="2" t="str">
        <f t="shared" si="19"/>
        <v>Dec-2015</v>
      </c>
      <c r="AU83" s="1">
        <v>24300</v>
      </c>
      <c r="AV83" s="3">
        <v>24950</v>
      </c>
      <c r="AW83" s="1">
        <v>25600</v>
      </c>
      <c r="AY83" s="4">
        <v>51230</v>
      </c>
      <c r="AZ83" s="4">
        <v>52590</v>
      </c>
      <c r="BA83" s="4">
        <v>53950</v>
      </c>
      <c r="BC83" s="176">
        <v>31</v>
      </c>
      <c r="BD83" s="176" t="str">
        <f t="shared" si="11"/>
        <v>Dec-2015</v>
      </c>
      <c r="BF83" s="314">
        <f t="shared" si="17"/>
        <v>38</v>
      </c>
      <c r="BG83" s="176">
        <f t="shared" si="18"/>
        <v>18</v>
      </c>
      <c r="BH83" s="176" t="str">
        <f t="shared" si="16"/>
        <v>Jul-2016</v>
      </c>
      <c r="BK83" s="176">
        <f>IF(BL83="","",BK74)</f>
        <v>5</v>
      </c>
      <c r="BL83" s="176" t="str">
        <f>IF(OR(BK69=5,BK69=4),"",BL74)</f>
        <v>Promotion FR22(a)i</v>
      </c>
      <c r="BO83" s="176">
        <v>32</v>
      </c>
      <c r="BP83" s="176">
        <f t="shared" si="2"/>
      </c>
      <c r="BQ83" s="176" t="str">
        <f t="shared" si="3"/>
        <v>Jan-2015</v>
      </c>
      <c r="BU83" s="176">
        <f t="shared" si="4"/>
      </c>
      <c r="BV83" s="176" t="str">
        <f t="shared" si="5"/>
        <v>Jan-2015</v>
      </c>
      <c r="BZ83" s="176">
        <f t="shared" si="6"/>
      </c>
      <c r="CA83" s="176">
        <f t="shared" si="10"/>
      </c>
      <c r="CF83" s="176">
        <f t="shared" si="7"/>
      </c>
      <c r="CG83" s="176">
        <f t="shared" si="8"/>
      </c>
      <c r="CL83" s="176">
        <f t="shared" si="0"/>
      </c>
      <c r="CM83" s="189" t="str">
        <f t="shared" si="1"/>
        <v>Feb-2016</v>
      </c>
    </row>
    <row r="84" spans="22:91" ht="18.75" hidden="1">
      <c r="V84" s="176" t="s">
        <v>618</v>
      </c>
      <c r="Z84" s="176">
        <v>6</v>
      </c>
      <c r="AA84" s="1" t="s">
        <v>38</v>
      </c>
      <c r="AC84" s="1" t="s">
        <v>39</v>
      </c>
      <c r="AF84" s="176">
        <v>30</v>
      </c>
      <c r="AQ84" s="176">
        <v>5</v>
      </c>
      <c r="AR84" s="176" t="s">
        <v>21</v>
      </c>
      <c r="AS84" s="2">
        <v>31</v>
      </c>
      <c r="AT84" s="2" t="str">
        <f>AR84&amp;"-2015"</f>
        <v>Jan-2015</v>
      </c>
      <c r="AU84" s="3">
        <v>24950</v>
      </c>
      <c r="AV84" s="1">
        <v>25600</v>
      </c>
      <c r="AW84" s="1">
        <v>26300</v>
      </c>
      <c r="AY84" s="4">
        <v>52590</v>
      </c>
      <c r="AZ84" s="4">
        <v>53950</v>
      </c>
      <c r="BA84" s="4">
        <v>55410</v>
      </c>
      <c r="BC84" s="176">
        <v>32</v>
      </c>
      <c r="BD84" s="176" t="str">
        <f t="shared" si="11"/>
        <v>Jan-2015</v>
      </c>
      <c r="BF84" s="314">
        <f t="shared" si="17"/>
        <v>39</v>
      </c>
      <c r="BG84" s="176">
        <f t="shared" si="18"/>
        <v>19</v>
      </c>
      <c r="BH84" s="176" t="str">
        <f t="shared" si="16"/>
        <v>Aug-2016</v>
      </c>
      <c r="BK84" s="176">
        <f>IF(BL84="","",BK75)</f>
        <v>6</v>
      </c>
      <c r="BL84" s="176" t="str">
        <f>IF(OR(BK69=6,BK69=5,BK69=4),"",BL75)</f>
        <v>FR22(a)I&amp; Incre</v>
      </c>
      <c r="BO84" s="176">
        <v>33</v>
      </c>
      <c r="BP84" s="176">
        <f t="shared" si="2"/>
      </c>
      <c r="BQ84" s="176" t="str">
        <f t="shared" si="3"/>
        <v>Feb-2016</v>
      </c>
      <c r="BU84" s="176">
        <f t="shared" si="4"/>
      </c>
      <c r="BV84" s="176" t="str">
        <f t="shared" si="5"/>
        <v>Feb-2016</v>
      </c>
      <c r="BZ84" s="176">
        <f t="shared" si="6"/>
      </c>
      <c r="CA84" s="176">
        <f t="shared" si="10"/>
      </c>
      <c r="CF84" s="176">
        <f t="shared" si="7"/>
      </c>
      <c r="CG84" s="176">
        <f t="shared" si="8"/>
      </c>
      <c r="CL84" s="176">
        <f t="shared" si="0"/>
      </c>
      <c r="CM84" s="189" t="str">
        <f t="shared" si="1"/>
        <v>Mar-2016</v>
      </c>
    </row>
    <row r="85" spans="32:91" ht="18.75" hidden="1">
      <c r="AF85" s="176">
        <v>31</v>
      </c>
      <c r="AQ85" s="176">
        <v>6</v>
      </c>
      <c r="AR85" s="176" t="s">
        <v>22</v>
      </c>
      <c r="AS85" s="2">
        <v>32</v>
      </c>
      <c r="AT85" s="2" t="str">
        <f>AR85&amp;"-2016"</f>
        <v>Feb-2016</v>
      </c>
      <c r="AU85" s="1">
        <v>25600</v>
      </c>
      <c r="AV85" s="1">
        <v>26300</v>
      </c>
      <c r="AW85" s="1">
        <v>27000</v>
      </c>
      <c r="AY85" s="4">
        <v>53950</v>
      </c>
      <c r="AZ85" s="4">
        <v>55410</v>
      </c>
      <c r="BA85" s="4">
        <v>56870</v>
      </c>
      <c r="BC85" s="176">
        <v>33</v>
      </c>
      <c r="BD85" s="176" t="str">
        <f t="shared" si="11"/>
        <v>Feb-2016</v>
      </c>
      <c r="BF85" s="314">
        <f t="shared" si="17"/>
        <v>40</v>
      </c>
      <c r="BG85" s="176">
        <f t="shared" si="18"/>
        <v>20</v>
      </c>
      <c r="BH85" s="176" t="str">
        <f>IF($BC$52=1,"",BD72)</f>
        <v>Jan-2015</v>
      </c>
      <c r="BO85" s="176">
        <v>34</v>
      </c>
      <c r="BP85" s="176">
        <f t="shared" si="2"/>
      </c>
      <c r="BQ85" s="176" t="str">
        <f t="shared" si="3"/>
        <v>Mar-2016</v>
      </c>
      <c r="BU85" s="176">
        <f t="shared" si="4"/>
      </c>
      <c r="BV85" s="176" t="str">
        <f t="shared" si="5"/>
        <v>Mar-2016</v>
      </c>
      <c r="BZ85" s="176">
        <f t="shared" si="6"/>
      </c>
      <c r="CA85" s="176">
        <f t="shared" si="10"/>
      </c>
      <c r="CF85" s="176">
        <f t="shared" si="7"/>
      </c>
      <c r="CG85" s="176">
        <f t="shared" si="8"/>
      </c>
      <c r="CL85" s="176">
        <f t="shared" si="0"/>
      </c>
      <c r="CM85" s="189" t="str">
        <f t="shared" si="1"/>
        <v>Apr-2016</v>
      </c>
    </row>
    <row r="86" spans="21:91" ht="18.75" hidden="1">
      <c r="U86" s="176">
        <v>1</v>
      </c>
      <c r="V86" s="202">
        <f>VLOOKUP(U86,U87:V90,2,0)</f>
        <v>22</v>
      </c>
      <c r="W86" s="202" t="str">
        <f>VLOOKUP(U86,U87:W90,3,0)</f>
        <v>Apr-2015</v>
      </c>
      <c r="AQ86" s="176">
        <v>7</v>
      </c>
      <c r="AR86" s="176" t="s">
        <v>23</v>
      </c>
      <c r="AS86" s="2">
        <v>33</v>
      </c>
      <c r="AT86" s="2" t="str">
        <f aca="true" t="shared" si="20" ref="AT86:AT91">AR86&amp;"-2016"</f>
        <v>Mar-2016</v>
      </c>
      <c r="AU86" s="1">
        <v>26300</v>
      </c>
      <c r="AV86" s="1">
        <v>27000</v>
      </c>
      <c r="AW86" s="1">
        <v>27700</v>
      </c>
      <c r="AY86" s="4">
        <v>55410</v>
      </c>
      <c r="AZ86" s="4">
        <v>56870</v>
      </c>
      <c r="BA86" s="4">
        <v>58330</v>
      </c>
      <c r="BC86" s="176">
        <v>34</v>
      </c>
      <c r="BD86" s="176" t="str">
        <f t="shared" si="11"/>
        <v>Mar-2016</v>
      </c>
      <c r="BF86" s="314">
        <f t="shared" si="17"/>
        <v>41</v>
      </c>
      <c r="BG86" s="176">
        <f t="shared" si="18"/>
        <v>21</v>
      </c>
      <c r="BH86" s="176" t="str">
        <f>IF($BC$52=1,"",BD73)</f>
        <v>Feb-2015</v>
      </c>
      <c r="BO86" s="176">
        <v>35</v>
      </c>
      <c r="BP86" s="176">
        <f t="shared" si="2"/>
      </c>
      <c r="BQ86" s="176" t="str">
        <f t="shared" si="3"/>
        <v>Apr-2016</v>
      </c>
      <c r="BU86" s="176">
        <f t="shared" si="4"/>
      </c>
      <c r="BV86" s="176" t="str">
        <f t="shared" si="5"/>
        <v>Apr-2016</v>
      </c>
      <c r="BZ86" s="176">
        <f t="shared" si="6"/>
      </c>
      <c r="CA86" s="176">
        <f t="shared" si="10"/>
      </c>
      <c r="CF86" s="176">
        <f t="shared" si="7"/>
      </c>
      <c r="CG86" s="176">
        <f t="shared" si="8"/>
      </c>
      <c r="CL86" s="176">
        <f t="shared" si="0"/>
      </c>
      <c r="CM86" s="189" t="str">
        <f t="shared" si="1"/>
        <v>May-2016</v>
      </c>
    </row>
    <row r="87" spans="21:91" ht="18.75" hidden="1">
      <c r="U87" s="176">
        <v>1</v>
      </c>
      <c r="V87" s="176">
        <v>22</v>
      </c>
      <c r="W87" s="176" t="str">
        <f>AT75</f>
        <v>Apr-2015</v>
      </c>
      <c r="AA87" s="203" t="str">
        <f>AC78</f>
        <v>28940-78910</v>
      </c>
      <c r="AB87" s="203" t="str">
        <f>VLOOKUP(AA87,AA89:AB100,2,0)</f>
        <v>28940-820-30580-880-33220-950- 36070-1030-39160-1110-42490- 1190-46060-1270-49870-1360- 53950-1460-58330-1560-63010- 1660-67990-1760-73270-1880-78910 (38)</v>
      </c>
      <c r="AC87" s="203"/>
      <c r="AD87" s="203"/>
      <c r="AE87" s="203"/>
      <c r="AF87" s="203"/>
      <c r="AG87" s="203"/>
      <c r="AH87" s="203"/>
      <c r="AI87" s="203"/>
      <c r="AJ87" s="203"/>
      <c r="AK87" s="203"/>
      <c r="AL87" s="203"/>
      <c r="AM87" s="203"/>
      <c r="AN87" s="203"/>
      <c r="AO87" s="203"/>
      <c r="AP87" s="203"/>
      <c r="AQ87" s="176">
        <v>8</v>
      </c>
      <c r="AR87" s="176" t="s">
        <v>24</v>
      </c>
      <c r="AS87" s="2">
        <v>34</v>
      </c>
      <c r="AT87" s="2" t="str">
        <f t="shared" si="20"/>
        <v>Apr-2016</v>
      </c>
      <c r="AU87" s="1">
        <v>27000</v>
      </c>
      <c r="AV87" s="1">
        <v>27700</v>
      </c>
      <c r="AW87" s="1">
        <v>28450</v>
      </c>
      <c r="AY87" s="4">
        <v>56870</v>
      </c>
      <c r="AZ87" s="4">
        <v>58330</v>
      </c>
      <c r="BA87" s="4">
        <v>59890</v>
      </c>
      <c r="BC87" s="176">
        <v>35</v>
      </c>
      <c r="BD87" s="176" t="str">
        <f t="shared" si="11"/>
        <v>Apr-2016</v>
      </c>
      <c r="BO87" s="176">
        <v>36</v>
      </c>
      <c r="BP87" s="176">
        <f t="shared" si="2"/>
      </c>
      <c r="BQ87" s="176" t="str">
        <f t="shared" si="3"/>
        <v>May-2016</v>
      </c>
      <c r="BU87" s="176">
        <f t="shared" si="4"/>
      </c>
      <c r="BV87" s="176" t="str">
        <f t="shared" si="5"/>
        <v>May-2016</v>
      </c>
      <c r="BZ87" s="176">
        <f t="shared" si="6"/>
      </c>
      <c r="CA87" s="176">
        <f t="shared" si="10"/>
      </c>
      <c r="CF87" s="176">
        <f t="shared" si="7"/>
      </c>
      <c r="CG87" s="176">
        <f t="shared" si="8"/>
      </c>
      <c r="CL87" s="176">
        <f t="shared" si="0"/>
      </c>
      <c r="CM87" s="189" t="str">
        <f t="shared" si="1"/>
        <v>Jun-2016</v>
      </c>
    </row>
    <row r="88" spans="21:91" ht="18.75" hidden="1">
      <c r="U88" s="176">
        <v>2</v>
      </c>
      <c r="V88" s="176">
        <v>23</v>
      </c>
      <c r="W88" s="176" t="str">
        <f>AT76</f>
        <v>May-2015</v>
      </c>
      <c r="X88" s="204">
        <f>IF($V$86&gt;=V88,V88,"")</f>
      </c>
      <c r="AA88" s="155" t="str">
        <f>AA78</f>
        <v>14860-39540</v>
      </c>
      <c r="AB88" s="189" t="str">
        <f>INDEX(AB89:AB100,MATCH(AA88,AA89:AA100,0))</f>
        <v>14860-420-15700-450-17050-490- 18520-530-20110-570-21820-610- 23650-650-25600-700-27700-750- 29950-800-32350-850-34900-900- 37600-970-39540 (38)</v>
      </c>
      <c r="AC88" s="189"/>
      <c r="AD88" s="189"/>
      <c r="AE88" s="189"/>
      <c r="AF88" s="189"/>
      <c r="AG88" s="189"/>
      <c r="AH88" s="189"/>
      <c r="AI88" s="189"/>
      <c r="AJ88" s="189"/>
      <c r="AK88" s="189"/>
      <c r="AL88" s="189"/>
      <c r="AM88" s="189"/>
      <c r="AN88" s="189"/>
      <c r="AO88" s="189"/>
      <c r="AP88" s="189"/>
      <c r="AQ88" s="176">
        <v>9</v>
      </c>
      <c r="AR88" s="176" t="s">
        <v>25</v>
      </c>
      <c r="AS88" s="2">
        <v>35</v>
      </c>
      <c r="AT88" s="2" t="str">
        <f t="shared" si="20"/>
        <v>May-2016</v>
      </c>
      <c r="AU88" s="1">
        <v>27700</v>
      </c>
      <c r="AV88" s="1">
        <v>28450</v>
      </c>
      <c r="AW88" s="1">
        <v>29200</v>
      </c>
      <c r="AY88" s="4">
        <v>58330</v>
      </c>
      <c r="AZ88" s="4">
        <v>59890</v>
      </c>
      <c r="BA88" s="4">
        <v>61450</v>
      </c>
      <c r="BC88" s="176">
        <v>36</v>
      </c>
      <c r="BD88" s="176" t="str">
        <f t="shared" si="11"/>
        <v>May-2016</v>
      </c>
      <c r="BO88" s="176">
        <v>37</v>
      </c>
      <c r="BP88" s="176">
        <f t="shared" si="2"/>
      </c>
      <c r="BQ88" s="176" t="str">
        <f t="shared" si="3"/>
        <v>Jun-2016</v>
      </c>
      <c r="BU88" s="176">
        <f t="shared" si="4"/>
      </c>
      <c r="BV88" s="176" t="str">
        <f t="shared" si="5"/>
        <v>Jun-2016</v>
      </c>
      <c r="BZ88" s="176">
        <f t="shared" si="6"/>
      </c>
      <c r="CA88" s="176">
        <f t="shared" si="10"/>
      </c>
      <c r="CF88" s="176">
        <f t="shared" si="7"/>
      </c>
      <c r="CG88" s="176">
        <f t="shared" si="8"/>
      </c>
      <c r="CL88" s="176">
        <f t="shared" si="0"/>
      </c>
      <c r="CM88" s="189" t="str">
        <f t="shared" si="1"/>
        <v>Jul-2016</v>
      </c>
    </row>
    <row r="89" spans="21:91" ht="18.75" hidden="1">
      <c r="U89" s="176">
        <v>3</v>
      </c>
      <c r="V89" s="176">
        <v>24</v>
      </c>
      <c r="W89" s="176" t="str">
        <f>AT77</f>
        <v>Jun-2015</v>
      </c>
      <c r="X89" s="204">
        <f>IF($V$86&gt;=V89,V89,"")</f>
      </c>
      <c r="AA89" s="1" t="s">
        <v>28</v>
      </c>
      <c r="AB89" s="205" t="s">
        <v>40</v>
      </c>
      <c r="AQ89" s="176">
        <v>10</v>
      </c>
      <c r="AR89" s="176" t="s">
        <v>14</v>
      </c>
      <c r="AS89" s="2">
        <v>36</v>
      </c>
      <c r="AT89" s="2" t="str">
        <f t="shared" si="20"/>
        <v>Jun-2016</v>
      </c>
      <c r="AU89" s="1">
        <v>28450</v>
      </c>
      <c r="AV89" s="1">
        <v>29200</v>
      </c>
      <c r="AW89" s="1">
        <v>29950</v>
      </c>
      <c r="AY89" s="4">
        <v>59890</v>
      </c>
      <c r="AZ89" s="4">
        <v>61450</v>
      </c>
      <c r="BA89" s="4">
        <v>63010</v>
      </c>
      <c r="BC89" s="176">
        <v>37</v>
      </c>
      <c r="BD89" s="176" t="str">
        <f t="shared" si="11"/>
        <v>Jun-2016</v>
      </c>
      <c r="BO89" s="176">
        <v>38</v>
      </c>
      <c r="BP89" s="176">
        <f t="shared" si="2"/>
      </c>
      <c r="BQ89" s="176" t="str">
        <f t="shared" si="3"/>
        <v>Jul-2016</v>
      </c>
      <c r="BU89" s="176">
        <f t="shared" si="4"/>
      </c>
      <c r="BV89" s="176" t="str">
        <f t="shared" si="5"/>
        <v>Jul-2016</v>
      </c>
      <c r="BZ89" s="176">
        <f t="shared" si="6"/>
      </c>
      <c r="CA89" s="176">
        <f t="shared" si="10"/>
      </c>
      <c r="CF89" s="176">
        <f t="shared" si="7"/>
      </c>
      <c r="CG89" s="176">
        <f t="shared" si="8"/>
      </c>
      <c r="CL89" s="176">
        <f t="shared" si="0"/>
      </c>
      <c r="CM89" s="189" t="str">
        <f t="shared" si="1"/>
        <v>Aug-2016</v>
      </c>
    </row>
    <row r="90" spans="21:91" ht="18.75" hidden="1">
      <c r="U90" s="176">
        <v>4</v>
      </c>
      <c r="V90" s="176">
        <v>25</v>
      </c>
      <c r="W90" s="176" t="str">
        <f>AT78</f>
        <v>Jul-2015</v>
      </c>
      <c r="X90" s="204">
        <f>IF($V$86&gt;=V90,V90,"")</f>
      </c>
      <c r="AA90" s="1" t="s">
        <v>30</v>
      </c>
      <c r="AB90" s="205" t="s">
        <v>41</v>
      </c>
      <c r="AQ90" s="176">
        <v>11</v>
      </c>
      <c r="AR90" s="176" t="s">
        <v>15</v>
      </c>
      <c r="AS90" s="2">
        <v>37</v>
      </c>
      <c r="AT90" s="2" t="str">
        <f t="shared" si="20"/>
        <v>Jul-2016</v>
      </c>
      <c r="AU90" s="1">
        <v>29200</v>
      </c>
      <c r="AV90" s="1">
        <v>29950</v>
      </c>
      <c r="AW90" s="1">
        <v>30750</v>
      </c>
      <c r="AY90" s="4">
        <v>61450</v>
      </c>
      <c r="AZ90" s="4">
        <v>63010</v>
      </c>
      <c r="BA90" s="4">
        <v>64670</v>
      </c>
      <c r="BC90" s="176">
        <v>38</v>
      </c>
      <c r="BD90" s="176" t="str">
        <f t="shared" si="11"/>
        <v>Jul-2016</v>
      </c>
      <c r="BO90" s="176">
        <v>39</v>
      </c>
      <c r="BP90" s="176">
        <f t="shared" si="2"/>
      </c>
      <c r="BQ90" s="176" t="str">
        <f t="shared" si="3"/>
        <v>Aug-2016</v>
      </c>
      <c r="BU90" s="176">
        <f t="shared" si="4"/>
      </c>
      <c r="BV90" s="176" t="str">
        <f t="shared" si="5"/>
        <v>Aug-2016</v>
      </c>
      <c r="BZ90" s="176">
        <f t="shared" si="6"/>
      </c>
      <c r="CA90" s="176">
        <f t="shared" si="10"/>
      </c>
      <c r="CF90" s="176">
        <f t="shared" si="7"/>
      </c>
      <c r="CG90" s="176">
        <f t="shared" si="8"/>
      </c>
      <c r="CM90" s="189"/>
    </row>
    <row r="91" spans="27:74" ht="18.75" hidden="1">
      <c r="AA91" s="1" t="s">
        <v>32</v>
      </c>
      <c r="AB91" s="205" t="s">
        <v>42</v>
      </c>
      <c r="AQ91" s="176">
        <v>12</v>
      </c>
      <c r="AR91" s="176" t="s">
        <v>16</v>
      </c>
      <c r="AS91" s="2">
        <v>38</v>
      </c>
      <c r="AT91" s="2" t="str">
        <f t="shared" si="20"/>
        <v>Aug-2016</v>
      </c>
      <c r="AU91" s="1">
        <v>29950</v>
      </c>
      <c r="AV91" s="1">
        <v>30750</v>
      </c>
      <c r="AW91" s="1">
        <v>31550</v>
      </c>
      <c r="AY91" s="4">
        <v>63010</v>
      </c>
      <c r="AZ91" s="4">
        <v>64670</v>
      </c>
      <c r="BA91" s="4">
        <v>66330</v>
      </c>
      <c r="BC91" s="176">
        <v>39</v>
      </c>
      <c r="BD91" s="176" t="str">
        <f t="shared" si="11"/>
        <v>Aug-2016</v>
      </c>
      <c r="BO91" s="176">
        <v>40</v>
      </c>
      <c r="BP91" s="176">
        <f t="shared" si="2"/>
      </c>
      <c r="BU91" s="176">
        <f t="shared" si="4"/>
      </c>
      <c r="BV91" s="176">
        <f t="shared" si="5"/>
        <v>0</v>
      </c>
    </row>
    <row r="92" spans="27:74" ht="18.75" hidden="1">
      <c r="AA92" s="1" t="s">
        <v>34</v>
      </c>
      <c r="AB92" s="205" t="s">
        <v>43</v>
      </c>
      <c r="AR92" s="176" t="s">
        <v>17</v>
      </c>
      <c r="AS92" s="2">
        <v>39</v>
      </c>
      <c r="AT92" s="2"/>
      <c r="AU92" s="1">
        <v>30750</v>
      </c>
      <c r="AV92" s="1">
        <v>31550</v>
      </c>
      <c r="AW92" s="1">
        <v>32350</v>
      </c>
      <c r="AY92" s="4">
        <v>64670</v>
      </c>
      <c r="AZ92" s="4">
        <v>66330</v>
      </c>
      <c r="BA92" s="4">
        <v>67990</v>
      </c>
      <c r="BO92" s="176">
        <v>41</v>
      </c>
      <c r="BP92" s="176">
        <f t="shared" si="2"/>
      </c>
      <c r="BU92" s="176">
        <f t="shared" si="4"/>
      </c>
      <c r="BV92" s="176">
        <f t="shared" si="5"/>
        <v>0</v>
      </c>
    </row>
    <row r="93" spans="27:53" ht="18.75" hidden="1">
      <c r="AA93" s="1" t="s">
        <v>36</v>
      </c>
      <c r="AB93" s="205" t="s">
        <v>44</v>
      </c>
      <c r="AR93" s="176" t="s">
        <v>18</v>
      </c>
      <c r="AS93" s="2">
        <v>40</v>
      </c>
      <c r="AT93" s="2"/>
      <c r="AU93" s="1">
        <v>31550</v>
      </c>
      <c r="AV93" s="1">
        <v>32350</v>
      </c>
      <c r="AW93" s="1">
        <v>33200</v>
      </c>
      <c r="AY93" s="4">
        <v>66330</v>
      </c>
      <c r="AZ93" s="4">
        <v>67990</v>
      </c>
      <c r="BA93" s="4">
        <v>69750</v>
      </c>
    </row>
    <row r="94" spans="22:53" ht="18.75" hidden="1">
      <c r="V94" s="189">
        <v>2</v>
      </c>
      <c r="W94" s="189" t="str">
        <f>VLOOKUP(V94,V95:W97,2,0)</f>
        <v>Greater Hyderabad</v>
      </c>
      <c r="AA94" s="1" t="s">
        <v>38</v>
      </c>
      <c r="AB94" s="205" t="s">
        <v>45</v>
      </c>
      <c r="AR94" s="176" t="s">
        <v>19</v>
      </c>
      <c r="AS94" s="2">
        <v>41</v>
      </c>
      <c r="AT94" s="2"/>
      <c r="AU94" s="1">
        <v>32350</v>
      </c>
      <c r="AV94" s="1">
        <v>33200</v>
      </c>
      <c r="AW94" s="1">
        <v>34050</v>
      </c>
      <c r="AY94" s="4">
        <v>67990</v>
      </c>
      <c r="AZ94" s="4">
        <v>69750</v>
      </c>
      <c r="BA94" s="4">
        <v>71510</v>
      </c>
    </row>
    <row r="95" spans="22:53" ht="18.75" hidden="1">
      <c r="V95" s="176">
        <v>1</v>
      </c>
      <c r="W95" s="176" t="s">
        <v>127</v>
      </c>
      <c r="AA95" s="1" t="s">
        <v>29</v>
      </c>
      <c r="AB95" s="205" t="s">
        <v>46</v>
      </c>
      <c r="AR95" s="176" t="s">
        <v>20</v>
      </c>
      <c r="AS95" s="2">
        <v>42</v>
      </c>
      <c r="AT95" s="2"/>
      <c r="AU95" s="1">
        <v>33200</v>
      </c>
      <c r="AV95" s="1">
        <v>34050</v>
      </c>
      <c r="AW95" s="1">
        <v>34900</v>
      </c>
      <c r="AY95" s="4">
        <v>69750</v>
      </c>
      <c r="AZ95" s="4">
        <v>71510</v>
      </c>
      <c r="BA95" s="4">
        <v>73270</v>
      </c>
    </row>
    <row r="96" spans="22:53" ht="18.75" hidden="1">
      <c r="V96" s="176">
        <v>2</v>
      </c>
      <c r="W96" s="176" t="s">
        <v>623</v>
      </c>
      <c r="AA96" s="1" t="s">
        <v>31</v>
      </c>
      <c r="AB96" s="205" t="s">
        <v>47</v>
      </c>
      <c r="AR96" s="176" t="s">
        <v>21</v>
      </c>
      <c r="AS96" s="2">
        <v>43</v>
      </c>
      <c r="AT96" s="2"/>
      <c r="AU96" s="1">
        <v>34050</v>
      </c>
      <c r="AV96" s="1">
        <v>34900</v>
      </c>
      <c r="AW96" s="1">
        <v>35800</v>
      </c>
      <c r="AY96" s="4">
        <v>71510</v>
      </c>
      <c r="AZ96" s="4">
        <v>73270</v>
      </c>
      <c r="BA96" s="4">
        <v>75150</v>
      </c>
    </row>
    <row r="97" spans="22:53" ht="18.75" hidden="1">
      <c r="V97" s="176">
        <v>3</v>
      </c>
      <c r="W97" s="176" t="s">
        <v>624</v>
      </c>
      <c r="AA97" s="1" t="s">
        <v>33</v>
      </c>
      <c r="AB97" s="205" t="s">
        <v>48</v>
      </c>
      <c r="AR97" s="176" t="s">
        <v>22</v>
      </c>
      <c r="AS97" s="2">
        <v>44</v>
      </c>
      <c r="AT97" s="2"/>
      <c r="AU97" s="1">
        <v>34900</v>
      </c>
      <c r="AV97" s="1">
        <v>35800</v>
      </c>
      <c r="AW97" s="1">
        <v>36700</v>
      </c>
      <c r="AY97" s="4">
        <v>73270</v>
      </c>
      <c r="AZ97" s="4">
        <v>75150</v>
      </c>
      <c r="BA97" s="4">
        <v>77030</v>
      </c>
    </row>
    <row r="98" spans="27:53" ht="18.75" hidden="1">
      <c r="AA98" s="1" t="s">
        <v>35</v>
      </c>
      <c r="AB98" s="205" t="s">
        <v>49</v>
      </c>
      <c r="AR98" s="176" t="s">
        <v>23</v>
      </c>
      <c r="AS98" s="2">
        <v>45</v>
      </c>
      <c r="AT98" s="2"/>
      <c r="AU98" s="1">
        <v>35800</v>
      </c>
      <c r="AV98" s="1">
        <v>36700</v>
      </c>
      <c r="AW98" s="1">
        <v>37600</v>
      </c>
      <c r="AY98" s="4">
        <v>75150</v>
      </c>
      <c r="AZ98" s="4">
        <v>77030</v>
      </c>
      <c r="BA98" s="4">
        <v>78910</v>
      </c>
    </row>
    <row r="99" spans="27:53" ht="18.75" hidden="1">
      <c r="AA99" s="1" t="s">
        <v>37</v>
      </c>
      <c r="AB99" s="205" t="s">
        <v>50</v>
      </c>
      <c r="AS99" s="2">
        <v>46</v>
      </c>
      <c r="AT99" s="2"/>
      <c r="AU99" s="1">
        <v>36700</v>
      </c>
      <c r="AV99" s="1">
        <v>37600</v>
      </c>
      <c r="AW99" s="1">
        <v>38570</v>
      </c>
      <c r="AY99" s="4">
        <v>77030</v>
      </c>
      <c r="AZ99" s="4">
        <v>78910</v>
      </c>
      <c r="BA99" s="4">
        <v>80930</v>
      </c>
    </row>
    <row r="100" spans="27:53" ht="18.75" hidden="1">
      <c r="AA100" s="1" t="s">
        <v>39</v>
      </c>
      <c r="AB100" s="205" t="s">
        <v>51</v>
      </c>
      <c r="AS100" s="2">
        <v>47</v>
      </c>
      <c r="AT100" s="2"/>
      <c r="AU100" s="1">
        <v>37600</v>
      </c>
      <c r="AV100" s="1">
        <v>38570</v>
      </c>
      <c r="AW100" s="1">
        <v>39540</v>
      </c>
      <c r="AY100" s="4">
        <v>78910</v>
      </c>
      <c r="AZ100" s="4">
        <v>80930</v>
      </c>
      <c r="BA100" s="4">
        <v>82950</v>
      </c>
    </row>
    <row r="101" spans="45:53" ht="18.75" hidden="1">
      <c r="AS101" s="2">
        <v>48</v>
      </c>
      <c r="AT101" s="2"/>
      <c r="AU101" s="1">
        <v>38570</v>
      </c>
      <c r="AV101" s="1">
        <v>39540</v>
      </c>
      <c r="AW101" s="1">
        <v>40510</v>
      </c>
      <c r="AY101" s="4">
        <v>80930</v>
      </c>
      <c r="AZ101" s="4">
        <v>82950</v>
      </c>
      <c r="BA101" s="4">
        <v>84970</v>
      </c>
    </row>
    <row r="102" spans="45:53" ht="18.75" hidden="1">
      <c r="AS102" s="2">
        <v>49</v>
      </c>
      <c r="AT102" s="2"/>
      <c r="AU102" s="1">
        <v>39540</v>
      </c>
      <c r="AV102" s="1">
        <v>40510</v>
      </c>
      <c r="AW102" s="1">
        <v>41550</v>
      </c>
      <c r="AY102" s="4">
        <v>82950</v>
      </c>
      <c r="AZ102" s="4">
        <v>84970</v>
      </c>
      <c r="BA102" s="4">
        <v>87130</v>
      </c>
    </row>
    <row r="103" spans="26:76" ht="18.75" hidden="1">
      <c r="Z103" s="441" t="s">
        <v>57</v>
      </c>
      <c r="AA103" s="441"/>
      <c r="AB103" s="441" t="s">
        <v>70</v>
      </c>
      <c r="AC103" s="441"/>
      <c r="AD103" s="191"/>
      <c r="AE103" s="191"/>
      <c r="AF103" s="191"/>
      <c r="AG103" s="191"/>
      <c r="AH103" s="191"/>
      <c r="AI103" s="191"/>
      <c r="AJ103" s="191"/>
      <c r="AM103" s="189" t="s">
        <v>131</v>
      </c>
      <c r="AS103" s="2">
        <v>50</v>
      </c>
      <c r="AT103" s="2"/>
      <c r="AU103" s="1">
        <v>40510</v>
      </c>
      <c r="AV103" s="1">
        <v>41550</v>
      </c>
      <c r="AW103" s="1">
        <v>42590</v>
      </c>
      <c r="AY103" s="4">
        <v>84970</v>
      </c>
      <c r="AZ103" s="4">
        <v>87130</v>
      </c>
      <c r="BA103" s="4">
        <v>89290</v>
      </c>
      <c r="BW103" s="176">
        <v>0</v>
      </c>
      <c r="BX103" s="176" t="str">
        <f>VLOOKUP(BW103,BW104:BX106,2,0)</f>
        <v>No</v>
      </c>
    </row>
    <row r="104" spans="26:76" ht="18.75" hidden="1">
      <c r="Z104" s="191">
        <v>3</v>
      </c>
      <c r="AA104" s="191">
        <f>VLOOKUP(Z104,Z105:AA108,2,0)</f>
        <v>20</v>
      </c>
      <c r="AB104" s="191">
        <v>3</v>
      </c>
      <c r="AC104" s="191">
        <f>VLOOKUP(AB104,AB106:AC109,2,0)</f>
        <v>14.5</v>
      </c>
      <c r="AD104" s="191"/>
      <c r="AE104" s="191"/>
      <c r="AF104" s="191"/>
      <c r="AG104" s="191"/>
      <c r="AH104" s="191"/>
      <c r="AI104" s="191">
        <v>3</v>
      </c>
      <c r="AJ104" s="191">
        <f>INDEX(AJ106:AJ109,MATCH(AI104,AI106:AI109,0))</f>
        <v>75</v>
      </c>
      <c r="AS104" s="2">
        <v>51</v>
      </c>
      <c r="AT104" s="2"/>
      <c r="AU104" s="1">
        <v>41550</v>
      </c>
      <c r="AV104" s="1">
        <v>42590</v>
      </c>
      <c r="AW104" s="1">
        <v>43630</v>
      </c>
      <c r="AY104" s="4">
        <v>87130</v>
      </c>
      <c r="AZ104" s="4">
        <v>89290</v>
      </c>
      <c r="BA104" s="4">
        <v>91450</v>
      </c>
      <c r="BW104" s="176">
        <v>0</v>
      </c>
      <c r="BX104" s="176" t="s">
        <v>105</v>
      </c>
    </row>
    <row r="105" spans="26:76" ht="18.75" hidden="1">
      <c r="Z105" s="176">
        <v>1</v>
      </c>
      <c r="AA105" s="176">
        <v>12</v>
      </c>
      <c r="AB105" s="176">
        <v>1</v>
      </c>
      <c r="AC105" s="176" t="s">
        <v>69</v>
      </c>
      <c r="AJ105" s="176" t="s">
        <v>54</v>
      </c>
      <c r="AS105" s="2">
        <v>52</v>
      </c>
      <c r="AT105" s="2"/>
      <c r="AU105" s="1">
        <v>42590</v>
      </c>
      <c r="AV105" s="1">
        <v>43630</v>
      </c>
      <c r="AW105" s="1">
        <v>44740</v>
      </c>
      <c r="AY105" s="4">
        <v>89290</v>
      </c>
      <c r="AZ105" s="4">
        <v>91450</v>
      </c>
      <c r="BA105" s="4">
        <v>93780</v>
      </c>
      <c r="BW105" s="176">
        <v>1</v>
      </c>
      <c r="BX105" s="176" t="s">
        <v>21</v>
      </c>
    </row>
    <row r="106" spans="26:76" ht="18.75" hidden="1">
      <c r="Z106" s="176">
        <v>2</v>
      </c>
      <c r="AA106" s="176">
        <v>14.5</v>
      </c>
      <c r="AB106" s="176">
        <v>2</v>
      </c>
      <c r="AC106" s="176">
        <f>AA105</f>
        <v>12</v>
      </c>
      <c r="AI106" s="176">
        <v>1</v>
      </c>
      <c r="AJ106" s="176">
        <v>0</v>
      </c>
      <c r="AS106" s="2">
        <v>53</v>
      </c>
      <c r="AT106" s="2"/>
      <c r="AU106" s="1">
        <v>43630</v>
      </c>
      <c r="AV106" s="1">
        <v>44740</v>
      </c>
      <c r="AW106" s="1">
        <v>45850</v>
      </c>
      <c r="AY106" s="4">
        <v>91450</v>
      </c>
      <c r="AZ106" s="4">
        <v>93780</v>
      </c>
      <c r="BA106" s="4">
        <v>96110</v>
      </c>
      <c r="BW106" s="176">
        <v>2</v>
      </c>
      <c r="BX106" s="176" t="s">
        <v>22</v>
      </c>
    </row>
    <row r="107" spans="26:53" ht="18.75" hidden="1">
      <c r="Z107" s="176">
        <v>3</v>
      </c>
      <c r="AA107" s="176">
        <v>20</v>
      </c>
      <c r="AB107" s="176">
        <v>3</v>
      </c>
      <c r="AC107" s="176">
        <f>AA106</f>
        <v>14.5</v>
      </c>
      <c r="AI107" s="176">
        <v>2</v>
      </c>
      <c r="AJ107" s="176">
        <v>50</v>
      </c>
      <c r="AS107" s="2">
        <v>54</v>
      </c>
      <c r="AT107" s="2"/>
      <c r="AU107" s="1">
        <v>44740</v>
      </c>
      <c r="AV107" s="1">
        <v>45850</v>
      </c>
      <c r="AW107" s="1">
        <v>46960</v>
      </c>
      <c r="AY107" s="4">
        <v>93780</v>
      </c>
      <c r="AZ107" s="4">
        <v>96110</v>
      </c>
      <c r="BA107" s="4">
        <v>98440</v>
      </c>
    </row>
    <row r="108" spans="26:53" ht="18.75" hidden="1">
      <c r="Z108" s="176">
        <v>4</v>
      </c>
      <c r="AA108" s="176">
        <v>30</v>
      </c>
      <c r="AB108" s="176">
        <v>4</v>
      </c>
      <c r="AC108" s="176">
        <f>AA107</f>
        <v>20</v>
      </c>
      <c r="AI108" s="176">
        <v>3</v>
      </c>
      <c r="AJ108" s="176">
        <v>75</v>
      </c>
      <c r="AS108" s="2">
        <v>55</v>
      </c>
      <c r="AT108" s="2"/>
      <c r="AU108" s="1">
        <v>45850</v>
      </c>
      <c r="AV108" s="1">
        <v>46960</v>
      </c>
      <c r="AW108" s="1">
        <v>48160</v>
      </c>
      <c r="AY108" s="4">
        <v>96110</v>
      </c>
      <c r="AZ108" s="4">
        <v>98440</v>
      </c>
      <c r="BA108" s="4">
        <v>100770</v>
      </c>
    </row>
    <row r="109" spans="28:53" ht="18.75" hidden="1">
      <c r="AB109" s="176">
        <v>5</v>
      </c>
      <c r="AC109" s="176">
        <f>AA108</f>
        <v>30</v>
      </c>
      <c r="AI109" s="176">
        <v>4</v>
      </c>
      <c r="AJ109" s="176">
        <v>100</v>
      </c>
      <c r="AS109" s="2">
        <v>56</v>
      </c>
      <c r="AT109" s="2"/>
      <c r="AU109" s="1">
        <v>46960</v>
      </c>
      <c r="AV109" s="1">
        <v>48160</v>
      </c>
      <c r="AW109" s="1">
        <v>49360</v>
      </c>
      <c r="AY109" s="4">
        <v>98440</v>
      </c>
      <c r="AZ109" s="4">
        <v>100770</v>
      </c>
      <c r="BA109" s="4">
        <v>103290</v>
      </c>
    </row>
    <row r="110" spans="26:53" ht="18.75" hidden="1">
      <c r="Z110" s="440" t="s">
        <v>71</v>
      </c>
      <c r="AA110" s="440"/>
      <c r="AS110" s="2">
        <v>57</v>
      </c>
      <c r="AT110" s="2"/>
      <c r="AU110" s="1">
        <v>48160</v>
      </c>
      <c r="AV110" s="1">
        <v>49360</v>
      </c>
      <c r="AW110" s="1">
        <v>50560</v>
      </c>
      <c r="AY110" s="4">
        <v>100770</v>
      </c>
      <c r="AZ110" s="4">
        <v>103290</v>
      </c>
      <c r="BA110" s="4">
        <v>105810</v>
      </c>
    </row>
    <row r="111" spans="26:53" ht="18.75" hidden="1">
      <c r="Z111" s="206">
        <v>3</v>
      </c>
      <c r="AA111" s="189" t="str">
        <f>VLOOKUP(Z111,Z112:AA114,2,0)</f>
        <v>CPS</v>
      </c>
      <c r="AM111" s="176" t="s">
        <v>122</v>
      </c>
      <c r="AP111" s="176" t="s">
        <v>128</v>
      </c>
      <c r="AQ111" s="176" t="s">
        <v>129</v>
      </c>
      <c r="AR111" s="176" t="s">
        <v>130</v>
      </c>
      <c r="AS111" s="2">
        <v>58</v>
      </c>
      <c r="AT111" s="2"/>
      <c r="AU111" s="1">
        <v>49360</v>
      </c>
      <c r="AV111" s="1">
        <v>50560</v>
      </c>
      <c r="AW111" s="1">
        <v>51760</v>
      </c>
      <c r="AY111" s="4">
        <v>103290</v>
      </c>
      <c r="AZ111" s="4">
        <v>105810</v>
      </c>
      <c r="BA111" s="6">
        <v>108330</v>
      </c>
    </row>
    <row r="112" spans="26:53" ht="18.75" hidden="1">
      <c r="Z112" s="176">
        <v>1</v>
      </c>
      <c r="AA112" s="176" t="s">
        <v>72</v>
      </c>
      <c r="AL112" s="189">
        <v>1</v>
      </c>
      <c r="AM112" s="189" t="str">
        <f>VLOOKUP(AL112,AL113:AM116,2,0)</f>
        <v>Not Applicable</v>
      </c>
      <c r="AN112" s="189"/>
      <c r="AO112" s="176">
        <v>0</v>
      </c>
      <c r="AP112" s="176">
        <v>200</v>
      </c>
      <c r="AQ112" s="176">
        <v>120</v>
      </c>
      <c r="AR112" s="176">
        <v>100</v>
      </c>
      <c r="AS112" s="2">
        <v>59</v>
      </c>
      <c r="AT112" s="2"/>
      <c r="AU112" s="1">
        <v>50560</v>
      </c>
      <c r="AV112" s="1">
        <v>51760</v>
      </c>
      <c r="AW112" s="1">
        <v>53060</v>
      </c>
      <c r="AY112" s="4">
        <v>105810</v>
      </c>
      <c r="AZ112" s="6">
        <v>108330</v>
      </c>
      <c r="BA112" s="6">
        <v>110850</v>
      </c>
    </row>
    <row r="113" spans="26:53" ht="18.75" hidden="1">
      <c r="Z113" s="176">
        <v>2</v>
      </c>
      <c r="AA113" s="176" t="s">
        <v>73</v>
      </c>
      <c r="AL113" s="176">
        <v>1</v>
      </c>
      <c r="AM113" s="176" t="s">
        <v>127</v>
      </c>
      <c r="AO113" s="176">
        <v>8200</v>
      </c>
      <c r="AP113" s="176">
        <v>300</v>
      </c>
      <c r="AQ113" s="176">
        <v>160</v>
      </c>
      <c r="AR113" s="176">
        <v>120</v>
      </c>
      <c r="AS113" s="2">
        <v>60</v>
      </c>
      <c r="AT113" s="2"/>
      <c r="AU113" s="1">
        <v>51760</v>
      </c>
      <c r="AV113" s="1">
        <v>53060</v>
      </c>
      <c r="AW113" s="1">
        <v>54360</v>
      </c>
      <c r="AY113" s="6">
        <v>108330</v>
      </c>
      <c r="AZ113" s="6">
        <v>110850</v>
      </c>
      <c r="BA113" s="6">
        <v>110850</v>
      </c>
    </row>
    <row r="114" spans="26:53" ht="18.75" hidden="1">
      <c r="Z114" s="176">
        <v>3</v>
      </c>
      <c r="AA114" s="176" t="s">
        <v>74</v>
      </c>
      <c r="AE114" s="176" t="s">
        <v>102</v>
      </c>
      <c r="AL114" s="176">
        <v>2</v>
      </c>
      <c r="AM114" s="176" t="s">
        <v>125</v>
      </c>
      <c r="AO114" s="176">
        <v>13270</v>
      </c>
      <c r="AP114" s="176">
        <v>350</v>
      </c>
      <c r="AQ114" s="176">
        <v>220</v>
      </c>
      <c r="AR114" s="176">
        <v>130</v>
      </c>
      <c r="AS114" s="2">
        <v>61</v>
      </c>
      <c r="AT114" s="2"/>
      <c r="AU114" s="1">
        <v>53060</v>
      </c>
      <c r="AV114" s="1">
        <v>54360</v>
      </c>
      <c r="AW114" s="1">
        <v>55660</v>
      </c>
      <c r="AY114" s="6">
        <v>110850</v>
      </c>
      <c r="AZ114" s="6">
        <v>110850</v>
      </c>
      <c r="BA114" s="6">
        <v>110850</v>
      </c>
    </row>
    <row r="115" spans="26:53" ht="18.75" hidden="1">
      <c r="Z115" s="176">
        <v>4</v>
      </c>
      <c r="AA115" s="176" t="s">
        <v>75</v>
      </c>
      <c r="AE115" s="176">
        <v>1</v>
      </c>
      <c r="AF115" s="176" t="s">
        <v>69</v>
      </c>
      <c r="AL115" s="176">
        <v>3</v>
      </c>
      <c r="AM115" s="176" t="s">
        <v>126</v>
      </c>
      <c r="AO115" s="176">
        <v>18030</v>
      </c>
      <c r="AP115" s="176">
        <v>525</v>
      </c>
      <c r="AQ115" s="176">
        <v>350</v>
      </c>
      <c r="AR115" s="176">
        <v>140</v>
      </c>
      <c r="AS115" s="2">
        <v>62</v>
      </c>
      <c r="AT115" s="2"/>
      <c r="AU115" s="1">
        <v>54360</v>
      </c>
      <c r="AV115" s="1">
        <v>55660</v>
      </c>
      <c r="AY115" s="6">
        <v>110850</v>
      </c>
      <c r="AZ115" s="6">
        <v>110850</v>
      </c>
      <c r="BA115" s="6">
        <v>110850</v>
      </c>
    </row>
    <row r="116" spans="31:53" ht="18.75" hidden="1">
      <c r="AE116" s="176">
        <v>2</v>
      </c>
      <c r="AF116" s="176" t="s">
        <v>81</v>
      </c>
      <c r="AS116" s="2">
        <v>63</v>
      </c>
      <c r="AT116" s="2"/>
      <c r="AU116" s="1">
        <v>55660</v>
      </c>
      <c r="AY116" s="6">
        <v>110850</v>
      </c>
      <c r="AZ116" s="6">
        <v>110850</v>
      </c>
      <c r="BA116" s="6">
        <v>110850</v>
      </c>
    </row>
    <row r="117" spans="31:53" ht="18.75" hidden="1">
      <c r="AE117" s="176">
        <v>3</v>
      </c>
      <c r="AF117" s="176" t="s">
        <v>86</v>
      </c>
      <c r="AO117" s="176">
        <v>0</v>
      </c>
      <c r="AP117" s="176">
        <v>400</v>
      </c>
      <c r="AQ117" s="176">
        <v>300</v>
      </c>
      <c r="AR117" s="176">
        <v>200</v>
      </c>
      <c r="AY117" s="6">
        <v>110850</v>
      </c>
      <c r="AZ117" s="6">
        <v>110850</v>
      </c>
      <c r="BA117" s="6">
        <v>110850</v>
      </c>
    </row>
    <row r="118" spans="31:44" ht="18.75" hidden="1">
      <c r="AE118" s="176">
        <v>4</v>
      </c>
      <c r="AF118" s="176" t="s">
        <v>82</v>
      </c>
      <c r="AI118" s="189">
        <v>14860</v>
      </c>
      <c r="AO118" s="176">
        <v>16400</v>
      </c>
      <c r="AP118" s="176">
        <v>600</v>
      </c>
      <c r="AQ118" s="176">
        <v>400</v>
      </c>
      <c r="AR118" s="176">
        <v>300</v>
      </c>
    </row>
    <row r="119" spans="26:44" ht="18.75" hidden="1">
      <c r="Z119" s="176" t="s">
        <v>96</v>
      </c>
      <c r="AC119" s="176" t="s">
        <v>160</v>
      </c>
      <c r="AE119" s="176">
        <v>5</v>
      </c>
      <c r="AF119" s="176" t="s">
        <v>83</v>
      </c>
      <c r="AI119" s="189">
        <v>18030</v>
      </c>
      <c r="AO119" s="176">
        <v>28940</v>
      </c>
      <c r="AP119" s="176">
        <v>700</v>
      </c>
      <c r="AQ119" s="176">
        <v>460</v>
      </c>
      <c r="AR119" s="176">
        <v>350</v>
      </c>
    </row>
    <row r="120" spans="26:44" ht="18.75" hidden="1">
      <c r="Z120" s="176" t="s">
        <v>97</v>
      </c>
      <c r="AC120" s="197">
        <f>Y53</f>
        <v>2</v>
      </c>
      <c r="AE120" s="176">
        <v>6</v>
      </c>
      <c r="AF120" s="176" t="s">
        <v>87</v>
      </c>
      <c r="AO120" s="176">
        <v>37100</v>
      </c>
      <c r="AP120" s="176">
        <v>1000</v>
      </c>
      <c r="AQ120" s="176">
        <v>750</v>
      </c>
      <c r="AR120" s="176">
        <v>500</v>
      </c>
    </row>
    <row r="121" spans="23:31" ht="18.75" hidden="1">
      <c r="W121" s="207"/>
      <c r="Z121" s="176">
        <f>AI55</f>
        <v>20</v>
      </c>
      <c r="AA121" s="208">
        <f>AJ55</f>
        <v>18520</v>
      </c>
      <c r="AE121" s="176" t="str">
        <f>IF($AB$104=1,"",AT70)</f>
        <v>Nov-2014</v>
      </c>
    </row>
    <row r="122" spans="28:46" ht="18.75" hidden="1">
      <c r="AB122" s="176" t="s">
        <v>99</v>
      </c>
      <c r="AD122" s="176" t="s">
        <v>103</v>
      </c>
      <c r="AE122" s="176" t="s">
        <v>104</v>
      </c>
      <c r="AG122" s="176" t="str">
        <f>Data!AA78</f>
        <v>14860-39540</v>
      </c>
      <c r="AI122" s="208">
        <f>AA121</f>
        <v>18520</v>
      </c>
      <c r="AJ122" s="189" t="s">
        <v>110</v>
      </c>
      <c r="AK122" s="189"/>
      <c r="AL122" s="189" t="s">
        <v>103</v>
      </c>
      <c r="AM122" s="189"/>
      <c r="AN122" s="189" t="s">
        <v>112</v>
      </c>
      <c r="AQ122" s="176" t="s">
        <v>158</v>
      </c>
      <c r="AT122" s="176" t="s">
        <v>159</v>
      </c>
    </row>
    <row r="123" spans="26:40" ht="18.75" hidden="1">
      <c r="Z123" s="176" t="s">
        <v>98</v>
      </c>
      <c r="AB123" s="189">
        <f>BK51</f>
        <v>2</v>
      </c>
      <c r="AC123" s="209" t="str">
        <f>BL51</f>
        <v>Increment</v>
      </c>
      <c r="AD123" s="176">
        <f>IF(AB123=2,1,BO51)</f>
        <v>1</v>
      </c>
      <c r="AE123" s="189">
        <f>IF(AB123=1,1,IF(AD123&gt;1,BQ51+1,BQ51))</f>
        <v>6</v>
      </c>
      <c r="AF123" s="176" t="str">
        <f>BR51</f>
        <v>Nov-2013</v>
      </c>
      <c r="AG123" s="176" t="str">
        <f>IF(OR(AB123=1,AB123=2),AG122,IF(AB123=3,VLOOKUP(AG122,$AA$79:$AB$83,2,0),IF(OR(AB123=4,AB123=5)*AND(AG57&lt;=14),$AA$81,"")))</f>
        <v>14860-39540</v>
      </c>
      <c r="AH123" s="210"/>
      <c r="AI123" s="176">
        <f>IF(OR(AB123=2,AB123=3,AB123=5),VLOOKUP(AI122,oldpay,2,0),IF(AB123=6,VLOOKUP(AI122,oldpay,3,0),IF(AND($AC$120=1,AB123=4,AI122&lt;$AI$118),$AI$118,IF(AND($AC$120=1,AB123=4,AI122&gt;$AI$118),VLOOKUP(AI122,oldpay,3,0),IF(AND($AC$120=2,AB123=4,AI122&lt;$AI$119),$AI$119,IF(AND($AC$120=2,AB123=4,AI122&gt;$AI$119),VLOOKUP(AI122,oldpay,3,0),AI122))))))</f>
        <v>19050</v>
      </c>
      <c r="AJ123" s="211">
        <v>41456</v>
      </c>
      <c r="AK123" s="189">
        <f>AA104</f>
        <v>20</v>
      </c>
      <c r="AL123" s="189"/>
      <c r="AM123" s="189">
        <f>CL50</f>
        <v>15</v>
      </c>
      <c r="AN123" s="189" t="e">
        <f>CM50</f>
        <v>#N/A</v>
      </c>
    </row>
    <row r="124" spans="26:40" ht="18.75" hidden="1">
      <c r="Z124" s="176" t="s">
        <v>100</v>
      </c>
      <c r="AB124" s="189">
        <f>BK60</f>
        <v>2</v>
      </c>
      <c r="AC124" s="209" t="str">
        <f>BL60</f>
        <v>Increment</v>
      </c>
      <c r="AD124" s="176">
        <f>IF(AB124=2,1,BT51)</f>
        <v>1</v>
      </c>
      <c r="AE124" s="189">
        <f>IF(AB124=1,1,IF(AD124&gt;1,BV51+1,BV51))</f>
        <v>18</v>
      </c>
      <c r="AF124" s="176" t="str">
        <f>BW51</f>
        <v>Nov-2014</v>
      </c>
      <c r="AG124" s="176" t="str">
        <f>IF(OR(AB124=1,AB124=2),AG123,IF(AB124=3,VLOOKUP(AG123,$AA$79:$AB$83,2,0),IF(OR(AB124=4,AB124=5)*AND(AG58&lt;=14),$AA$81,"")))</f>
        <v>14860-39540</v>
      </c>
      <c r="AH124" s="210"/>
      <c r="AI124" s="176">
        <f>IF(OR(AB124=2,AB124=3,AB124=5),VLOOKUP(AI123,oldpay,2,0),IF(AB124=6,VLOOKUP(AI123,oldpay,3,0),IF(AND($AC$120=1,AB124=4,AI123&lt;$AI$118),$AI$118,IF(AND($AC$120=1,AB124=4,AI123&gt;$AI$118),VLOOKUP(AI123,oldpay,3,0),IF(AND($AC$120=2,AB124=4,AI123&lt;$AI$119),$AI$119,IF(AND($AC$120=2,AB124=4,AI123&gt;$AI$119),VLOOKUP(AI123,oldpay,3,0),AI123))))))</f>
        <v>19580</v>
      </c>
      <c r="AJ124" s="189">
        <f>CL50</f>
        <v>15</v>
      </c>
      <c r="AK124" s="189">
        <f>IF(ISNA($AC$104),"",$AC$104)</f>
        <v>14.5</v>
      </c>
      <c r="AL124" s="189"/>
      <c r="AM124" s="189"/>
      <c r="AN124" s="189"/>
    </row>
    <row r="125" spans="26:40" ht="18.75" hidden="1">
      <c r="Z125" s="176" t="s">
        <v>101</v>
      </c>
      <c r="AB125" s="189">
        <f>IF(AC125="",1,BK69)</f>
        <v>1</v>
      </c>
      <c r="AC125" s="209" t="str">
        <f>BL69</f>
        <v> No Change</v>
      </c>
      <c r="AD125" s="176">
        <f>IF(AB125=2,1,BY51)</f>
        <v>30</v>
      </c>
      <c r="AE125" s="189">
        <f>IF(AB125=1,1,IF(AD125&gt;1,CA51+1,CA51))</f>
        <v>1</v>
      </c>
      <c r="AF125" s="176" t="str">
        <f>CB51</f>
        <v>Jan-2015</v>
      </c>
      <c r="AG125" s="176" t="str">
        <f>IF(OR(AB125=1,AB125=2),AG124,IF(AB125=3,VLOOKUP(AG124,$AA$79:$AB$83,2,0),IF(OR(AB125=4,AB125=5)*AND(AG59&lt;=14),$AA$81,"")))</f>
        <v>14860-39540</v>
      </c>
      <c r="AH125" s="210"/>
      <c r="AI125" s="176">
        <f>IF(OR(AB125=2,AB125=3,AB125=5),VLOOKUP(AI124,oldpay,2,0),IF(AB125=6,VLOOKUP(AI124,oldpay,3,0),IF(AND($AC$120=1,AB125=4,AI124&lt;$AI$118),$AI$118,IF(AND($AC$120=1,AB125=4,AI124&gt;$AI$118),VLOOKUP(AI124,oldpay,3,0),IF(AND($AC$120=2,AB125=4,AI124&lt;$AI$119),$AI$119,IF(AND($AC$120=2,AB125=4,AI124&gt;$AI$119),VLOOKUP(AI124,oldpay,3,0),AI124))))))</f>
        <v>19580</v>
      </c>
      <c r="AJ125" s="189"/>
      <c r="AK125" s="189"/>
      <c r="AL125" s="189"/>
      <c r="AM125" s="189"/>
      <c r="AN125" s="189"/>
    </row>
    <row r="126" spans="26:35" ht="18.75" hidden="1">
      <c r="Z126" s="176" t="s">
        <v>113</v>
      </c>
      <c r="AB126" s="189">
        <f>BK78</f>
        <v>1</v>
      </c>
      <c r="AC126" s="209" t="str">
        <f>BL78</f>
        <v> Select Above Option</v>
      </c>
      <c r="AD126" s="176">
        <f>IF(AB126=2,1,CD51)</f>
        <v>14</v>
      </c>
      <c r="AE126" s="189">
        <f>IF(AB126=1,1,IF(AD126&gt;1,CF51+1,CF51))</f>
        <v>1</v>
      </c>
      <c r="AF126" s="176" t="str">
        <f>CG51</f>
        <v>Feb-2015</v>
      </c>
      <c r="AG126" s="176" t="str">
        <f>IF(OR(AB126=1,AB126=2),AG125,IF(AB126=3,VLOOKUP(AG125,$AA$79:$AB$83,2,0),IF(OR(AB126=4,AB126=5)*AND(AG60&lt;=14),$AA$81,"")))</f>
        <v>14860-39540</v>
      </c>
      <c r="AH126" s="210"/>
      <c r="AI126" s="176">
        <f>IF(OR(AB126=2,AB126=3,AB126=5),VLOOKUP(AI125,oldpay,2,0),IF(AB126=6,VLOOKUP(AI125,oldpay,3,0),IF(AND($AC$120=1,AB126=4,AI125&lt;$AI$118),$AI$118,IF(AND($AC$120=1,AB126=4,AI125&gt;$AI$118),VLOOKUP(AI125,oldpay,3,0),IF(AND($AC$120=2,AB126=4,AI125&lt;$AI$119),$AI$119,IF(AND($AC$120=2,AB126=4,AI125&gt;$AI$119),VLOOKUP(AI125,oldpay,3,0),AI125))))))</f>
        <v>19580</v>
      </c>
    </row>
    <row r="127" spans="28:42" ht="18.75" hidden="1">
      <c r="AB127" s="176" t="s">
        <v>117</v>
      </c>
      <c r="AJ127" s="176" t="s">
        <v>118</v>
      </c>
      <c r="AP127" s="176" t="s">
        <v>120</v>
      </c>
    </row>
    <row r="128" spans="22:51" ht="18.75" hidden="1">
      <c r="V128" s="209" t="s">
        <v>170</v>
      </c>
      <c r="W128" s="176" t="s">
        <v>180</v>
      </c>
      <c r="AB128" s="176" t="s">
        <v>115</v>
      </c>
      <c r="AC128" s="176" t="s">
        <v>108</v>
      </c>
      <c r="AD128" s="176" t="s">
        <v>109</v>
      </c>
      <c r="AE128" s="176" t="s">
        <v>114</v>
      </c>
      <c r="AF128" s="212" t="s">
        <v>57</v>
      </c>
      <c r="AG128" s="176" t="s">
        <v>116</v>
      </c>
      <c r="AH128" s="176" t="s">
        <v>122</v>
      </c>
      <c r="AJ128" s="176" t="s">
        <v>119</v>
      </c>
      <c r="AK128" s="176" t="s">
        <v>107</v>
      </c>
      <c r="AL128" s="176" t="s">
        <v>109</v>
      </c>
      <c r="AM128" s="176" t="s">
        <v>57</v>
      </c>
      <c r="AN128" s="176" t="s">
        <v>122</v>
      </c>
      <c r="AP128" s="176" t="s">
        <v>119</v>
      </c>
      <c r="AQ128" s="176" t="s">
        <v>109</v>
      </c>
      <c r="AR128" s="176" t="s">
        <v>57</v>
      </c>
      <c r="AY128" s="176" t="str">
        <f>Data!G6&amp;", "&amp;IF(Data!AG57&lt;&gt;15,Data!AH57,Data!AB53)&amp;", "&amp;Data!G7&amp;", "&amp;Data!L7&amp;" "&amp;"Mandal, "&amp;Data!P7&amp;" District."</f>
        <v>Sri S Nithin, SA(Hin), M.D Mangalam, G D Nellore Mandal, Karimnagar District.</v>
      </c>
    </row>
    <row r="129" spans="16:44" ht="18.75" hidden="1">
      <c r="P129" s="211" t="str">
        <f>Y129</f>
        <v>Jul-2013</v>
      </c>
      <c r="Q129" s="200" t="str">
        <f>Y130</f>
        <v>Aug-2013</v>
      </c>
      <c r="T129" s="213">
        <v>2</v>
      </c>
      <c r="U129" s="189">
        <v>31</v>
      </c>
      <c r="V129" s="176">
        <f>IF(T129=$X$167,$Z$167,"")</f>
      </c>
      <c r="X129" s="176">
        <v>1</v>
      </c>
      <c r="Y129" s="200" t="str">
        <f>BD54</f>
        <v>Jul-2013</v>
      </c>
      <c r="Z129" s="176">
        <v>2</v>
      </c>
      <c r="AA129" s="176">
        <f>AA121</f>
        <v>18520</v>
      </c>
      <c r="AB129" s="176">
        <f>AA129</f>
        <v>18520</v>
      </c>
      <c r="AC129" s="176">
        <v>63.344</v>
      </c>
      <c r="AD129" s="176">
        <f>ROUND(AB129*AC129/100,0)</f>
        <v>11731</v>
      </c>
      <c r="AE129" s="176">
        <f>AK123</f>
        <v>20</v>
      </c>
      <c r="AF129" s="176">
        <f>IF(AND(OR(AE129=12,AE129=14.5,AE129=20),ROUND(AB129*AE129/100,0)&gt;=8000),8000,IF(AND(AE129=30,ROUND(AB129*AE129/100,0)&gt;=12000),12000,ROUND(AB129*AE129/100,0)))</f>
        <v>3704</v>
      </c>
      <c r="AG129" s="176">
        <v>0</v>
      </c>
      <c r="AH129" s="176">
        <f>IF($AL$112=2,LOOKUP(AB129,$AO$112:$AO$115,$AP$112:$AP$115),IF($AL$112=3,LOOKUP(AB129,$AO$112:$AO$115,$AR$112:$AR$115),IF($AL$112=3,LOOKUP(AB129,$AO$112:$AO$115,$AR$112:$AR$115),0)))</f>
        <v>0</v>
      </c>
      <c r="AJ129" s="176">
        <f>VLOOKUP(AB129,$AU$54:$AY$116,5,0)</f>
        <v>39160</v>
      </c>
      <c r="AK129" s="176">
        <v>0</v>
      </c>
      <c r="AL129" s="176">
        <f>ROUND(AJ129*AK129/100,0)</f>
        <v>0</v>
      </c>
      <c r="AM129" s="176">
        <f>IF(AND(OR(AE129=12,AE129=14.5,AE129=20),ROUND(AJ129*AE129/100,0)&gt;=15000),15000,IF(AND(AE129=30,ROUND(AJ129*AE129/100,0)&gt;=20000),20000,ROUND(AJ129*AE129/100,0)))</f>
        <v>7832</v>
      </c>
      <c r="AN129" s="176">
        <f>IF($AL$112=2,LOOKUP(AJ129,$AO$117:$AO$120,$AP$117:AP120),IF($AL$112=3,LOOKUP(AJ129,$AO$117:$AO$120,$AR$117:$AR$120),IF($AL$112=3,LOOKUP(AJ129,$AO$117:$AO$120,$AR$117:$AR$120),0)))</f>
        <v>0</v>
      </c>
      <c r="AP129" s="176">
        <f>AJ129-AB129-AD129-AG129</f>
        <v>8909</v>
      </c>
      <c r="AQ129" s="176">
        <f>AL129</f>
        <v>0</v>
      </c>
      <c r="AR129" s="176">
        <f>AM129-AF129</f>
        <v>4128</v>
      </c>
    </row>
    <row r="130" spans="16:44" ht="18.75" hidden="1">
      <c r="P130" s="211" t="str">
        <f aca="true" t="shared" si="21" ref="P130:P158">Y130</f>
        <v>Aug-2013</v>
      </c>
      <c r="Q130" s="200" t="str">
        <f aca="true" t="shared" si="22" ref="Q130:Q158">Y131</f>
        <v>Sep-2013</v>
      </c>
      <c r="T130" s="213">
        <v>3</v>
      </c>
      <c r="U130" s="189">
        <v>31</v>
      </c>
      <c r="V130" s="176">
        <f aca="true" t="shared" si="23" ref="V130:V158">IF(T130=$X$167,$Z$167,"")</f>
      </c>
      <c r="X130" s="176">
        <v>2</v>
      </c>
      <c r="Y130" s="200" t="str">
        <f aca="true" t="shared" si="24" ref="Y130:Y158">BD55</f>
        <v>Aug-2013</v>
      </c>
      <c r="Z130" s="176">
        <v>3</v>
      </c>
      <c r="AA130" s="176">
        <f>IF(ISNA(VLOOKUP(Z130,$AE$123:$AI$126,5,0)),"",VLOOKUP(Z130,$AE$123:$AI$126,5,0))</f>
      </c>
      <c r="AB130" s="176">
        <f>IF(AA130="",AB129,AA130)</f>
        <v>18520</v>
      </c>
      <c r="AC130" s="176">
        <v>63.344</v>
      </c>
      <c r="AD130" s="176">
        <f aca="true" t="shared" si="25" ref="AD130:AD158">ROUND(AB130*AC130/100,0)</f>
        <v>11731</v>
      </c>
      <c r="AE130" s="176">
        <f>IF(Z130&lt;$AJ$124,$AK$123,$AK$124)</f>
        <v>20</v>
      </c>
      <c r="AF130" s="176">
        <f aca="true" t="shared" si="26" ref="AF130:AF158">IF(AND(OR(AE130=12,AE130=14.5,AE130=20),ROUND(AB130*AE130/100,0)&gt;=8000),8000,IF(AND(AE130=30,ROUND(AB130*AE130/100,0)&gt;=12000),12000,ROUND(AB130*AE130/100,0)))</f>
        <v>3704</v>
      </c>
      <c r="AG130" s="176">
        <v>0</v>
      </c>
      <c r="AH130" s="176">
        <f aca="true" t="shared" si="27" ref="AH130:AH158">IF($AL$112=2,LOOKUP(AB130,$AO$112:$AO$115,$AP$112:$AP$115),IF($AL$112=3,LOOKUP(AB130,$AO$112:$AO$115,$AR$112:$AR$115),IF($AL$112=3,LOOKUP(AB130,$AO$112:$AO$115,$AR$112:$AR$115),0)))</f>
        <v>0</v>
      </c>
      <c r="AJ130" s="176">
        <f aca="true" t="shared" si="28" ref="AJ130:AJ158">VLOOKUP(AB130,$AU$54:$AY$116,5,0)</f>
        <v>39160</v>
      </c>
      <c r="AK130" s="176">
        <v>0</v>
      </c>
      <c r="AL130" s="176">
        <f aca="true" t="shared" si="29" ref="AL130:AL158">ROUND(AJ130*AK130/100,0)</f>
        <v>0</v>
      </c>
      <c r="AM130" s="176">
        <f aca="true" t="shared" si="30" ref="AM130:AM158">IF(AND(OR(AE130=12,AE130=14.5,AE130=20),ROUND(AJ130*AE130/100,0)&gt;=15000),15000,IF(AND(AE130=30,ROUND(AJ130*AE130/100,0)&gt;=20000),20000,ROUND(AJ130*AE130/100,0)))</f>
        <v>7832</v>
      </c>
      <c r="AN130" s="176">
        <f>IF($AL$112=2,LOOKUP(AJ130,$AO$117:$AO$120,$AP$117:AP121),IF($AL$112=3,LOOKUP(AJ130,$AO$117:$AO$120,$AR$117:$AR$120),IF($AL$112=3,LOOKUP(AJ130,$AO$117:$AO$120,$AR$117:$AR$120),0)))</f>
        <v>0</v>
      </c>
      <c r="AP130" s="176">
        <f aca="true" t="shared" si="31" ref="AP130:AP158">AJ130-AB130-AD130-AG130</f>
        <v>8909</v>
      </c>
      <c r="AQ130" s="176">
        <f aca="true" t="shared" si="32" ref="AQ130:AQ158">AL130</f>
        <v>0</v>
      </c>
      <c r="AR130" s="176">
        <f aca="true" t="shared" si="33" ref="AR130:AR158">AM130-AF130</f>
        <v>4128</v>
      </c>
    </row>
    <row r="131" spans="16:44" ht="18.75" hidden="1">
      <c r="P131" s="211" t="str">
        <f t="shared" si="21"/>
        <v>Sep-2013</v>
      </c>
      <c r="Q131" s="200" t="str">
        <f t="shared" si="22"/>
        <v>Oct-2013</v>
      </c>
      <c r="T131" s="213">
        <v>4</v>
      </c>
      <c r="U131" s="189">
        <v>30</v>
      </c>
      <c r="V131" s="176">
        <f t="shared" si="23"/>
      </c>
      <c r="X131" s="176">
        <v>3</v>
      </c>
      <c r="Y131" s="200" t="str">
        <f t="shared" si="24"/>
        <v>Sep-2013</v>
      </c>
      <c r="Z131" s="176">
        <v>4</v>
      </c>
      <c r="AA131" s="176">
        <f aca="true" t="shared" si="34" ref="AA131:AA136">IF(ISNA(VLOOKUP(Z131,$AE$123:$AI$126,5,0)),"",VLOOKUP(Z131,$AE$123:$AI$126,5,0))</f>
      </c>
      <c r="AB131" s="176">
        <f aca="true" t="shared" si="35" ref="AB131:AB158">IF(AA131="",AB130,AA131)</f>
        <v>18520</v>
      </c>
      <c r="AC131" s="176">
        <v>63.344</v>
      </c>
      <c r="AD131" s="176">
        <f t="shared" si="25"/>
        <v>11731</v>
      </c>
      <c r="AE131" s="176">
        <f aca="true" t="shared" si="36" ref="AE131:AE158">IF(Z131&lt;$AJ$124,$AK$123,$AK$124)</f>
        <v>20</v>
      </c>
      <c r="AF131" s="176">
        <f t="shared" si="26"/>
        <v>3704</v>
      </c>
      <c r="AG131" s="176">
        <v>0</v>
      </c>
      <c r="AH131" s="176">
        <f t="shared" si="27"/>
        <v>0</v>
      </c>
      <c r="AJ131" s="176">
        <f t="shared" si="28"/>
        <v>39160</v>
      </c>
      <c r="AK131" s="176">
        <v>0</v>
      </c>
      <c r="AL131" s="176">
        <f t="shared" si="29"/>
        <v>0</v>
      </c>
      <c r="AM131" s="176">
        <f t="shared" si="30"/>
        <v>7832</v>
      </c>
      <c r="AN131" s="176">
        <f>IF($AL$112=2,LOOKUP(AJ131,$AO$117:$AO$120,$AP$117:AP122),IF($AL$112=3,LOOKUP(AJ131,$AO$117:$AO$120,$AR$117:$AR$120),IF($AL$112=3,LOOKUP(AJ131,$AO$117:$AO$120,$AR$117:$AR$120),0)))</f>
        <v>0</v>
      </c>
      <c r="AP131" s="176">
        <f t="shared" si="31"/>
        <v>8909</v>
      </c>
      <c r="AQ131" s="176">
        <f t="shared" si="32"/>
        <v>0</v>
      </c>
      <c r="AR131" s="176">
        <f t="shared" si="33"/>
        <v>4128</v>
      </c>
    </row>
    <row r="132" spans="16:44" ht="18.75" hidden="1">
      <c r="P132" s="211" t="str">
        <f t="shared" si="21"/>
        <v>Oct-2013</v>
      </c>
      <c r="Q132" s="200" t="str">
        <f t="shared" si="22"/>
        <v>Nov-2013</v>
      </c>
      <c r="T132" s="213">
        <v>5</v>
      </c>
      <c r="U132" s="189">
        <v>31</v>
      </c>
      <c r="V132" s="176">
        <f t="shared" si="23"/>
      </c>
      <c r="X132" s="176">
        <v>4</v>
      </c>
      <c r="Y132" s="200" t="str">
        <f t="shared" si="24"/>
        <v>Oct-2013</v>
      </c>
      <c r="Z132" s="176">
        <v>5</v>
      </c>
      <c r="AA132" s="176">
        <f t="shared" si="34"/>
      </c>
      <c r="AB132" s="176">
        <f t="shared" si="35"/>
        <v>18520</v>
      </c>
      <c r="AC132" s="176">
        <v>63.344</v>
      </c>
      <c r="AD132" s="176">
        <f t="shared" si="25"/>
        <v>11731</v>
      </c>
      <c r="AE132" s="176">
        <f t="shared" si="36"/>
        <v>20</v>
      </c>
      <c r="AF132" s="176">
        <f t="shared" si="26"/>
        <v>3704</v>
      </c>
      <c r="AG132" s="176">
        <v>0</v>
      </c>
      <c r="AH132" s="176">
        <f t="shared" si="27"/>
        <v>0</v>
      </c>
      <c r="AJ132" s="176">
        <f t="shared" si="28"/>
        <v>39160</v>
      </c>
      <c r="AK132" s="176">
        <v>0</v>
      </c>
      <c r="AL132" s="176">
        <f t="shared" si="29"/>
        <v>0</v>
      </c>
      <c r="AM132" s="176">
        <f t="shared" si="30"/>
        <v>7832</v>
      </c>
      <c r="AN132" s="176">
        <f>IF($AL$112=2,LOOKUP(AJ132,$AO$117:$AO$120,$AP$117:AP123),IF($AL$112=3,LOOKUP(AJ132,$AO$117:$AO$120,$AR$117:$AR$120),IF($AL$112=3,LOOKUP(AJ132,$AO$117:$AO$120,$AR$117:$AR$120),0)))</f>
        <v>0</v>
      </c>
      <c r="AP132" s="176">
        <f t="shared" si="31"/>
        <v>8909</v>
      </c>
      <c r="AQ132" s="176">
        <f t="shared" si="32"/>
        <v>0</v>
      </c>
      <c r="AR132" s="176">
        <f t="shared" si="33"/>
        <v>4128</v>
      </c>
    </row>
    <row r="133" spans="16:51" ht="18.75" hidden="1">
      <c r="P133" s="211" t="str">
        <f t="shared" si="21"/>
        <v>Nov-2013</v>
      </c>
      <c r="Q133" s="200" t="str">
        <f t="shared" si="22"/>
        <v>Dec-2013</v>
      </c>
      <c r="T133" s="213">
        <v>6</v>
      </c>
      <c r="U133" s="189">
        <v>30</v>
      </c>
      <c r="V133" s="176">
        <f t="shared" si="23"/>
      </c>
      <c r="X133" s="176">
        <v>5</v>
      </c>
      <c r="Y133" s="200" t="str">
        <f t="shared" si="24"/>
        <v>Nov-2013</v>
      </c>
      <c r="Z133" s="176">
        <v>6</v>
      </c>
      <c r="AA133" s="176">
        <f t="shared" si="34"/>
        <v>19050</v>
      </c>
      <c r="AB133" s="176">
        <f t="shared" si="35"/>
        <v>19050</v>
      </c>
      <c r="AC133" s="176">
        <v>63.344</v>
      </c>
      <c r="AD133" s="176">
        <f t="shared" si="25"/>
        <v>12067</v>
      </c>
      <c r="AE133" s="176">
        <f t="shared" si="36"/>
        <v>20</v>
      </c>
      <c r="AF133" s="176">
        <f t="shared" si="26"/>
        <v>3810</v>
      </c>
      <c r="AG133" s="176">
        <v>0</v>
      </c>
      <c r="AH133" s="176">
        <f t="shared" si="27"/>
        <v>0</v>
      </c>
      <c r="AJ133" s="176">
        <f t="shared" si="28"/>
        <v>40270</v>
      </c>
      <c r="AK133" s="176">
        <v>0</v>
      </c>
      <c r="AL133" s="176">
        <f t="shared" si="29"/>
        <v>0</v>
      </c>
      <c r="AM133" s="176">
        <f t="shared" si="30"/>
        <v>8054</v>
      </c>
      <c r="AN133" s="176">
        <f>IF($AL$112=2,LOOKUP(AJ133,$AO$117:$AO$120,$AP$117:AP124),IF($AL$112=3,LOOKUP(AJ133,$AO$117:$AO$120,$AR$117:$AR$120),IF($AL$112=3,LOOKUP(AJ133,$AO$117:$AO$120,$AR$117:$AR$120),0)))</f>
        <v>0</v>
      </c>
      <c r="AP133" s="176">
        <f t="shared" si="31"/>
        <v>9153</v>
      </c>
      <c r="AQ133" s="176">
        <f t="shared" si="32"/>
        <v>0</v>
      </c>
      <c r="AR133" s="176">
        <f t="shared" si="33"/>
        <v>4244</v>
      </c>
      <c r="AY133" s="176" t="s">
        <v>691</v>
      </c>
    </row>
    <row r="134" spans="16:52" ht="18.75" hidden="1">
      <c r="P134" s="211" t="str">
        <f t="shared" si="21"/>
        <v>Dec-2013</v>
      </c>
      <c r="Q134" s="200" t="str">
        <f t="shared" si="22"/>
        <v>Jan-2014</v>
      </c>
      <c r="T134" s="213">
        <v>7</v>
      </c>
      <c r="U134" s="189">
        <v>31</v>
      </c>
      <c r="V134" s="176">
        <f t="shared" si="23"/>
      </c>
      <c r="X134" s="176">
        <v>6</v>
      </c>
      <c r="Y134" s="200" t="str">
        <f t="shared" si="24"/>
        <v>Dec-2013</v>
      </c>
      <c r="Z134" s="176">
        <v>7</v>
      </c>
      <c r="AA134" s="176">
        <f t="shared" si="34"/>
      </c>
      <c r="AB134" s="176">
        <f>IF(AA134="",AB133,AA134)</f>
        <v>19050</v>
      </c>
      <c r="AC134" s="176">
        <v>63.344</v>
      </c>
      <c r="AD134" s="176">
        <f t="shared" si="25"/>
        <v>12067</v>
      </c>
      <c r="AE134" s="176">
        <f t="shared" si="36"/>
        <v>20</v>
      </c>
      <c r="AF134" s="176">
        <f t="shared" si="26"/>
        <v>3810</v>
      </c>
      <c r="AG134" s="176">
        <v>0</v>
      </c>
      <c r="AH134" s="176">
        <f t="shared" si="27"/>
        <v>0</v>
      </c>
      <c r="AJ134" s="176">
        <f t="shared" si="28"/>
        <v>40270</v>
      </c>
      <c r="AK134" s="176">
        <v>0</v>
      </c>
      <c r="AL134" s="176">
        <f t="shared" si="29"/>
        <v>0</v>
      </c>
      <c r="AM134" s="176">
        <f t="shared" si="30"/>
        <v>8054</v>
      </c>
      <c r="AN134" s="176">
        <f>IF($AL$112=2,LOOKUP(AJ134,$AO$117:$AO$120,$AP$117:AP125),IF($AL$112=3,LOOKUP(AJ134,$AO$117:$AO$120,$AR$117:$AR$120),IF($AL$112=3,LOOKUP(AJ134,$AO$117:$AO$120,$AR$117:$AR$120),0)))</f>
        <v>0</v>
      </c>
      <c r="AP134" s="176">
        <f t="shared" si="31"/>
        <v>9153</v>
      </c>
      <c r="AQ134" s="176">
        <f t="shared" si="32"/>
        <v>0</v>
      </c>
      <c r="AR134" s="176">
        <f t="shared" si="33"/>
        <v>4244</v>
      </c>
      <c r="AY134" s="4">
        <v>23740</v>
      </c>
      <c r="AZ134" s="4">
        <v>23100</v>
      </c>
    </row>
    <row r="135" spans="16:52" ht="18.75" hidden="1">
      <c r="P135" s="211" t="str">
        <f t="shared" si="21"/>
        <v>Jan-2014</v>
      </c>
      <c r="Q135" s="200" t="str">
        <f t="shared" si="22"/>
        <v>Feb-2014</v>
      </c>
      <c r="T135" s="213">
        <v>8</v>
      </c>
      <c r="U135" s="189">
        <v>31</v>
      </c>
      <c r="V135" s="176">
        <f t="shared" si="23"/>
      </c>
      <c r="X135" s="176">
        <v>7</v>
      </c>
      <c r="Y135" s="200" t="str">
        <f t="shared" si="24"/>
        <v>Jan-2014</v>
      </c>
      <c r="Z135" s="176">
        <v>8</v>
      </c>
      <c r="AA135" s="176">
        <f t="shared" si="34"/>
      </c>
      <c r="AB135" s="176">
        <f t="shared" si="35"/>
        <v>19050</v>
      </c>
      <c r="AC135" s="176">
        <v>71.904</v>
      </c>
      <c r="AD135" s="176">
        <f t="shared" si="25"/>
        <v>13698</v>
      </c>
      <c r="AE135" s="176">
        <f t="shared" si="36"/>
        <v>20</v>
      </c>
      <c r="AF135" s="176">
        <f t="shared" si="26"/>
        <v>3810</v>
      </c>
      <c r="AG135" s="176">
        <f>ROUND(AB135*27/100,0)</f>
        <v>5144</v>
      </c>
      <c r="AH135" s="176">
        <f t="shared" si="27"/>
        <v>0</v>
      </c>
      <c r="AJ135" s="176">
        <f t="shared" si="28"/>
        <v>40270</v>
      </c>
      <c r="AK135" s="176">
        <v>5.24</v>
      </c>
      <c r="AL135" s="176">
        <f t="shared" si="29"/>
        <v>2110</v>
      </c>
      <c r="AM135" s="176">
        <f t="shared" si="30"/>
        <v>8054</v>
      </c>
      <c r="AN135" s="176">
        <f>IF($AL$112=2,LOOKUP(AJ135,$AO$117:$AO$120,$AP$117:AP126),IF($AL$112=3,LOOKUP(AJ135,$AO$117:$AO$120,$AR$117:$AR$120),IF($AL$112=3,LOOKUP(AJ135,$AO$117:$AO$120,$AR$117:$AR$120),0)))</f>
        <v>0</v>
      </c>
      <c r="AP135" s="176">
        <f t="shared" si="31"/>
        <v>2378</v>
      </c>
      <c r="AQ135" s="176">
        <f t="shared" si="32"/>
        <v>2110</v>
      </c>
      <c r="AR135" s="176">
        <f t="shared" si="33"/>
        <v>4244</v>
      </c>
      <c r="AY135" s="4">
        <v>24440</v>
      </c>
      <c r="AZ135" s="4">
        <v>23740</v>
      </c>
    </row>
    <row r="136" spans="16:52" ht="18.75" hidden="1">
      <c r="P136" s="211" t="str">
        <f t="shared" si="21"/>
        <v>Feb-2014</v>
      </c>
      <c r="Q136" s="200" t="str">
        <f t="shared" si="22"/>
        <v>Mar-2014</v>
      </c>
      <c r="T136" s="213">
        <v>9</v>
      </c>
      <c r="U136" s="189">
        <v>28</v>
      </c>
      <c r="V136" s="176">
        <f t="shared" si="23"/>
      </c>
      <c r="X136" s="176">
        <v>8</v>
      </c>
      <c r="Y136" s="200" t="str">
        <f t="shared" si="24"/>
        <v>Feb-2014</v>
      </c>
      <c r="Z136" s="176">
        <v>9</v>
      </c>
      <c r="AA136" s="176">
        <f t="shared" si="34"/>
      </c>
      <c r="AB136" s="176">
        <f t="shared" si="35"/>
        <v>19050</v>
      </c>
      <c r="AC136" s="176">
        <v>71.904</v>
      </c>
      <c r="AD136" s="176">
        <f t="shared" si="25"/>
        <v>13698</v>
      </c>
      <c r="AE136" s="176">
        <f t="shared" si="36"/>
        <v>20</v>
      </c>
      <c r="AF136" s="176">
        <f t="shared" si="26"/>
        <v>3810</v>
      </c>
      <c r="AG136" s="176">
        <f>ROUND(AB136*27/100,0)</f>
        <v>5144</v>
      </c>
      <c r="AH136" s="176">
        <f t="shared" si="27"/>
        <v>0</v>
      </c>
      <c r="AJ136" s="176">
        <f t="shared" si="28"/>
        <v>40270</v>
      </c>
      <c r="AK136" s="176">
        <v>5.24</v>
      </c>
      <c r="AL136" s="176">
        <f t="shared" si="29"/>
        <v>2110</v>
      </c>
      <c r="AM136" s="176">
        <f t="shared" si="30"/>
        <v>8054</v>
      </c>
      <c r="AN136" s="176">
        <f>IF($AL$112=2,LOOKUP(AJ136,$AO$117:$AO$120,$AP$117:AP127),IF($AL$112=3,LOOKUP(AJ136,$AO$117:$AO$120,$AR$117:$AR$120),IF($AL$112=3,LOOKUP(AJ136,$AO$117:$AO$120,$AR$117:$AR$120),0)))</f>
        <v>0</v>
      </c>
      <c r="AP136" s="176">
        <f t="shared" si="31"/>
        <v>2378</v>
      </c>
      <c r="AQ136" s="176">
        <f t="shared" si="32"/>
        <v>2110</v>
      </c>
      <c r="AR136" s="176">
        <f t="shared" si="33"/>
        <v>4244</v>
      </c>
      <c r="AY136" s="4">
        <v>25140</v>
      </c>
      <c r="AZ136" s="4">
        <v>24440</v>
      </c>
    </row>
    <row r="137" spans="16:52" ht="18.75" hidden="1">
      <c r="P137" s="211" t="str">
        <f t="shared" si="21"/>
        <v>Mar-2014</v>
      </c>
      <c r="Q137" s="200" t="str">
        <f t="shared" si="22"/>
        <v>Apr-2014</v>
      </c>
      <c r="T137" s="213">
        <v>10</v>
      </c>
      <c r="U137" s="189">
        <v>31</v>
      </c>
      <c r="V137" s="176">
        <f t="shared" si="23"/>
      </c>
      <c r="X137" s="176">
        <v>9</v>
      </c>
      <c r="Y137" s="200" t="str">
        <f t="shared" si="24"/>
        <v>Mar-2014</v>
      </c>
      <c r="Z137" s="176">
        <v>10</v>
      </c>
      <c r="AA137" s="176">
        <f aca="true" t="shared" si="37" ref="AA137:AA158">IF(ISNA(VLOOKUP(Z137,$AE$123:$AI$126,5,0)),"",VLOOKUP(Z137,$AE$123:$AI$126,5,0))</f>
      </c>
      <c r="AB137" s="176">
        <f t="shared" si="35"/>
        <v>19050</v>
      </c>
      <c r="AC137" s="176">
        <v>71.904</v>
      </c>
      <c r="AD137" s="176">
        <f t="shared" si="25"/>
        <v>13698</v>
      </c>
      <c r="AE137" s="176">
        <f t="shared" si="36"/>
        <v>20</v>
      </c>
      <c r="AF137" s="176">
        <f t="shared" si="26"/>
        <v>3810</v>
      </c>
      <c r="AG137" s="176">
        <f aca="true" t="shared" si="38" ref="AG137:AG158">ROUND(AB137*27/100,0)</f>
        <v>5144</v>
      </c>
      <c r="AH137" s="176">
        <f t="shared" si="27"/>
        <v>0</v>
      </c>
      <c r="AJ137" s="176">
        <f t="shared" si="28"/>
        <v>40270</v>
      </c>
      <c r="AK137" s="176">
        <v>5.24</v>
      </c>
      <c r="AL137" s="176">
        <f t="shared" si="29"/>
        <v>2110</v>
      </c>
      <c r="AM137" s="176">
        <f t="shared" si="30"/>
        <v>8054</v>
      </c>
      <c r="AN137" s="176">
        <f>IF($AL$112=2,LOOKUP(AJ137,$AO$117:$AO$120,$AP$117:AP128),IF($AL$112=3,LOOKUP(AJ137,$AO$117:$AO$120,$AR$117:$AR$120),IF($AL$112=3,LOOKUP(AJ137,$AO$117:$AO$120,$AR$117:$AR$120),0)))</f>
        <v>0</v>
      </c>
      <c r="AP137" s="176">
        <f t="shared" si="31"/>
        <v>2378</v>
      </c>
      <c r="AQ137" s="176">
        <f t="shared" si="32"/>
        <v>2110</v>
      </c>
      <c r="AR137" s="176">
        <f t="shared" si="33"/>
        <v>4244</v>
      </c>
      <c r="AY137" s="4">
        <v>25840</v>
      </c>
      <c r="AZ137" s="4">
        <v>25140</v>
      </c>
    </row>
    <row r="138" spans="16:52" ht="18.75" hidden="1">
      <c r="P138" s="211" t="str">
        <f t="shared" si="21"/>
        <v>Apr-2014</v>
      </c>
      <c r="Q138" s="200" t="str">
        <f t="shared" si="22"/>
        <v>May-2014</v>
      </c>
      <c r="T138" s="213">
        <v>11</v>
      </c>
      <c r="U138" s="189">
        <v>30</v>
      </c>
      <c r="V138" s="176">
        <f t="shared" si="23"/>
      </c>
      <c r="X138" s="176">
        <v>10</v>
      </c>
      <c r="Y138" s="200" t="str">
        <f t="shared" si="24"/>
        <v>Apr-2014</v>
      </c>
      <c r="Z138" s="176">
        <v>11</v>
      </c>
      <c r="AA138" s="176">
        <f t="shared" si="37"/>
      </c>
      <c r="AB138" s="176">
        <f t="shared" si="35"/>
        <v>19050</v>
      </c>
      <c r="AC138" s="176">
        <v>71.904</v>
      </c>
      <c r="AD138" s="176">
        <f t="shared" si="25"/>
        <v>13698</v>
      </c>
      <c r="AE138" s="176">
        <f t="shared" si="36"/>
        <v>20</v>
      </c>
      <c r="AF138" s="176">
        <f t="shared" si="26"/>
        <v>3810</v>
      </c>
      <c r="AG138" s="176">
        <f t="shared" si="38"/>
        <v>5144</v>
      </c>
      <c r="AH138" s="176">
        <f t="shared" si="27"/>
        <v>0</v>
      </c>
      <c r="AJ138" s="176">
        <f t="shared" si="28"/>
        <v>40270</v>
      </c>
      <c r="AK138" s="176">
        <v>5.24</v>
      </c>
      <c r="AL138" s="176">
        <f t="shared" si="29"/>
        <v>2110</v>
      </c>
      <c r="AM138" s="176">
        <f t="shared" si="30"/>
        <v>8054</v>
      </c>
      <c r="AN138" s="176">
        <f>IF($AL$112=2,LOOKUP(AJ138,$AO$117:$AO$120,$AP$117:AP129),IF($AL$112=3,LOOKUP(AJ138,$AO$117:$AO$120,$AR$117:$AR$120),IF($AL$112=3,LOOKUP(AJ138,$AO$117:$AO$120,$AR$117:$AR$120),0)))</f>
        <v>0</v>
      </c>
      <c r="AP138" s="176">
        <f t="shared" si="31"/>
        <v>2378</v>
      </c>
      <c r="AQ138" s="176">
        <f t="shared" si="32"/>
        <v>2110</v>
      </c>
      <c r="AR138" s="176">
        <f t="shared" si="33"/>
        <v>4244</v>
      </c>
      <c r="AY138" s="4">
        <v>26600</v>
      </c>
      <c r="AZ138" s="4">
        <v>25840</v>
      </c>
    </row>
    <row r="139" spans="16:52" ht="18.75" hidden="1">
      <c r="P139" s="211" t="str">
        <f t="shared" si="21"/>
        <v>May-2014</v>
      </c>
      <c r="Q139" s="200" t="str">
        <f t="shared" si="22"/>
        <v>Jun-2014</v>
      </c>
      <c r="T139" s="213">
        <v>12</v>
      </c>
      <c r="U139" s="189">
        <v>31</v>
      </c>
      <c r="V139" s="176">
        <f t="shared" si="23"/>
      </c>
      <c r="X139" s="176">
        <v>11</v>
      </c>
      <c r="Y139" s="200" t="str">
        <f t="shared" si="24"/>
        <v>May-2014</v>
      </c>
      <c r="Z139" s="176">
        <v>12</v>
      </c>
      <c r="AA139" s="176">
        <f t="shared" si="37"/>
      </c>
      <c r="AB139" s="176">
        <f t="shared" si="35"/>
        <v>19050</v>
      </c>
      <c r="AC139" s="176">
        <v>71.904</v>
      </c>
      <c r="AD139" s="176">
        <f t="shared" si="25"/>
        <v>13698</v>
      </c>
      <c r="AE139" s="176">
        <f t="shared" si="36"/>
        <v>20</v>
      </c>
      <c r="AF139" s="176">
        <f t="shared" si="26"/>
        <v>3810</v>
      </c>
      <c r="AG139" s="176">
        <f t="shared" si="38"/>
        <v>5144</v>
      </c>
      <c r="AH139" s="176">
        <f t="shared" si="27"/>
        <v>0</v>
      </c>
      <c r="AJ139" s="176">
        <f t="shared" si="28"/>
        <v>40270</v>
      </c>
      <c r="AK139" s="176">
        <v>5.24</v>
      </c>
      <c r="AL139" s="176">
        <f t="shared" si="29"/>
        <v>2110</v>
      </c>
      <c r="AM139" s="176">
        <f t="shared" si="30"/>
        <v>8054</v>
      </c>
      <c r="AN139" s="176">
        <f>IF($AL$112=2,LOOKUP(AJ139,$AO$117:$AO$120,$AP$117:AP130),IF($AL$112=3,LOOKUP(AJ139,$AO$117:$AO$120,$AR$117:$AR$120),IF($AL$112=3,LOOKUP(AJ139,$AO$117:$AO$120,$AR$117:$AR$120),0)))</f>
        <v>0</v>
      </c>
      <c r="AP139" s="176">
        <f t="shared" si="31"/>
        <v>2378</v>
      </c>
      <c r="AQ139" s="176">
        <f t="shared" si="32"/>
        <v>2110</v>
      </c>
      <c r="AR139" s="176">
        <f t="shared" si="33"/>
        <v>4244</v>
      </c>
      <c r="AY139" s="4">
        <v>27360</v>
      </c>
      <c r="AZ139" s="4">
        <v>26600</v>
      </c>
    </row>
    <row r="140" spans="16:52" ht="18.75" hidden="1">
      <c r="P140" s="211" t="str">
        <f t="shared" si="21"/>
        <v>Jun-2014</v>
      </c>
      <c r="Q140" s="200" t="str">
        <f t="shared" si="22"/>
        <v>Jul-2014</v>
      </c>
      <c r="T140" s="213">
        <v>13</v>
      </c>
      <c r="U140" s="189">
        <v>30</v>
      </c>
      <c r="V140" s="176">
        <f t="shared" si="23"/>
      </c>
      <c r="X140" s="176">
        <v>12</v>
      </c>
      <c r="Y140" s="200" t="str">
        <f t="shared" si="24"/>
        <v>Jun-2014</v>
      </c>
      <c r="Z140" s="176">
        <v>13</v>
      </c>
      <c r="AA140" s="176">
        <f t="shared" si="37"/>
      </c>
      <c r="AB140" s="176">
        <f t="shared" si="35"/>
        <v>19050</v>
      </c>
      <c r="AC140" s="176">
        <v>71.904</v>
      </c>
      <c r="AD140" s="176">
        <f t="shared" si="25"/>
        <v>13698</v>
      </c>
      <c r="AE140" s="176">
        <f t="shared" si="36"/>
        <v>20</v>
      </c>
      <c r="AF140" s="176">
        <f t="shared" si="26"/>
        <v>3810</v>
      </c>
      <c r="AG140" s="176">
        <f t="shared" si="38"/>
        <v>5144</v>
      </c>
      <c r="AH140" s="176">
        <f t="shared" si="27"/>
        <v>0</v>
      </c>
      <c r="AJ140" s="176">
        <f t="shared" si="28"/>
        <v>40270</v>
      </c>
      <c r="AK140" s="176">
        <v>5.24</v>
      </c>
      <c r="AL140" s="176">
        <f t="shared" si="29"/>
        <v>2110</v>
      </c>
      <c r="AM140" s="176">
        <f t="shared" si="30"/>
        <v>8054</v>
      </c>
      <c r="AN140" s="176">
        <f>IF($AL$112=2,LOOKUP(AJ140,$AO$117:$AO$120,$AP$117:AP131),IF($AL$112=3,LOOKUP(AJ140,$AO$117:$AO$120,$AR$117:$AR$120),IF($AL$112=3,LOOKUP(AJ140,$AO$117:$AO$120,$AR$117:$AR$120),0)))</f>
        <v>0</v>
      </c>
      <c r="AP140" s="176">
        <f t="shared" si="31"/>
        <v>2378</v>
      </c>
      <c r="AQ140" s="176">
        <f t="shared" si="32"/>
        <v>2110</v>
      </c>
      <c r="AR140" s="176">
        <f t="shared" si="33"/>
        <v>4244</v>
      </c>
      <c r="AY140" s="4">
        <v>28120</v>
      </c>
      <c r="AZ140" s="4">
        <v>27360</v>
      </c>
    </row>
    <row r="141" spans="16:52" ht="18.75" hidden="1">
      <c r="P141" s="211" t="str">
        <f t="shared" si="21"/>
        <v>Jul-2014</v>
      </c>
      <c r="Q141" s="200" t="str">
        <f t="shared" si="22"/>
        <v>Aug-2014</v>
      </c>
      <c r="T141" s="213">
        <v>14</v>
      </c>
      <c r="U141" s="189">
        <v>31</v>
      </c>
      <c r="V141" s="176">
        <f t="shared" si="23"/>
      </c>
      <c r="X141" s="176">
        <v>13</v>
      </c>
      <c r="Y141" s="200" t="str">
        <f t="shared" si="24"/>
        <v>Jul-2014</v>
      </c>
      <c r="Z141" s="176">
        <v>14</v>
      </c>
      <c r="AA141" s="176">
        <f t="shared" si="37"/>
      </c>
      <c r="AB141" s="176">
        <f t="shared" si="35"/>
        <v>19050</v>
      </c>
      <c r="AC141" s="176">
        <v>77.896</v>
      </c>
      <c r="AD141" s="176">
        <f t="shared" si="25"/>
        <v>14839</v>
      </c>
      <c r="AE141" s="176">
        <f t="shared" si="36"/>
        <v>20</v>
      </c>
      <c r="AF141" s="176">
        <f t="shared" si="26"/>
        <v>3810</v>
      </c>
      <c r="AG141" s="176">
        <f t="shared" si="38"/>
        <v>5144</v>
      </c>
      <c r="AH141" s="176">
        <f t="shared" si="27"/>
        <v>0</v>
      </c>
      <c r="AJ141" s="176">
        <f t="shared" si="28"/>
        <v>40270</v>
      </c>
      <c r="AK141" s="176">
        <v>8.908</v>
      </c>
      <c r="AL141" s="176">
        <f t="shared" si="29"/>
        <v>3587</v>
      </c>
      <c r="AM141" s="176">
        <f t="shared" si="30"/>
        <v>8054</v>
      </c>
      <c r="AN141" s="176">
        <f>IF($AL$112=2,LOOKUP(AJ141,$AO$117:$AO$120,$AP$117:AP132),IF($AL$112=3,LOOKUP(AJ141,$AO$117:$AO$120,$AR$117:$AR$120),IF($AL$112=3,LOOKUP(AJ141,$AO$117:$AO$120,$AR$117:$AR$120),0)))</f>
        <v>0</v>
      </c>
      <c r="AP141" s="176">
        <f t="shared" si="31"/>
        <v>1237</v>
      </c>
      <c r="AQ141" s="176">
        <f t="shared" si="32"/>
        <v>3587</v>
      </c>
      <c r="AR141" s="176">
        <f t="shared" si="33"/>
        <v>4244</v>
      </c>
      <c r="AY141" s="5">
        <v>28940</v>
      </c>
      <c r="AZ141" s="4">
        <v>28120</v>
      </c>
    </row>
    <row r="142" spans="16:52" ht="18.75" hidden="1">
      <c r="P142" s="211" t="str">
        <f t="shared" si="21"/>
        <v>Aug-2014</v>
      </c>
      <c r="Q142" s="200" t="str">
        <f t="shared" si="22"/>
        <v>Sep-2014</v>
      </c>
      <c r="T142" s="213">
        <v>15</v>
      </c>
      <c r="U142" s="189">
        <v>31</v>
      </c>
      <c r="V142" s="176">
        <f t="shared" si="23"/>
      </c>
      <c r="X142" s="176">
        <v>14</v>
      </c>
      <c r="Y142" s="200" t="str">
        <f t="shared" si="24"/>
        <v>Aug-2014</v>
      </c>
      <c r="Z142" s="176">
        <v>15</v>
      </c>
      <c r="AA142" s="176">
        <f t="shared" si="37"/>
      </c>
      <c r="AB142" s="176">
        <f t="shared" si="35"/>
        <v>19050</v>
      </c>
      <c r="AC142" s="176">
        <v>77.896</v>
      </c>
      <c r="AD142" s="176">
        <f t="shared" si="25"/>
        <v>14839</v>
      </c>
      <c r="AE142" s="176">
        <f t="shared" si="36"/>
        <v>14.5</v>
      </c>
      <c r="AF142" s="176">
        <f t="shared" si="26"/>
        <v>2762</v>
      </c>
      <c r="AG142" s="176">
        <f t="shared" si="38"/>
        <v>5144</v>
      </c>
      <c r="AH142" s="176">
        <f t="shared" si="27"/>
        <v>0</v>
      </c>
      <c r="AJ142" s="176">
        <f t="shared" si="28"/>
        <v>40270</v>
      </c>
      <c r="AK142" s="176">
        <v>8.908</v>
      </c>
      <c r="AL142" s="176">
        <f t="shared" si="29"/>
        <v>3587</v>
      </c>
      <c r="AM142" s="176">
        <f t="shared" si="30"/>
        <v>5839</v>
      </c>
      <c r="AN142" s="176">
        <f>IF($AL$112=2,LOOKUP(AJ142,$AO$117:$AO$120,$AP$117:AP133),IF($AL$112=3,LOOKUP(AJ142,$AO$117:$AO$120,$AR$117:$AR$120),IF($AL$112=3,LOOKUP(AJ142,$AO$117:$AO$120,$AR$117:$AR$120),0)))</f>
        <v>0</v>
      </c>
      <c r="AP142" s="176">
        <f t="shared" si="31"/>
        <v>1237</v>
      </c>
      <c r="AQ142" s="176">
        <f t="shared" si="32"/>
        <v>3587</v>
      </c>
      <c r="AR142" s="176">
        <f t="shared" si="33"/>
        <v>3077</v>
      </c>
      <c r="AY142" s="4">
        <v>29760</v>
      </c>
      <c r="AZ142" s="5">
        <v>28940</v>
      </c>
    </row>
    <row r="143" spans="16:52" ht="18.75" hidden="1">
      <c r="P143" s="211" t="str">
        <f t="shared" si="21"/>
        <v>Sep-2014</v>
      </c>
      <c r="Q143" s="200" t="str">
        <f t="shared" si="22"/>
        <v>Oct-2014</v>
      </c>
      <c r="T143" s="213">
        <v>16</v>
      </c>
      <c r="U143" s="189">
        <v>30</v>
      </c>
      <c r="V143" s="176">
        <f t="shared" si="23"/>
      </c>
      <c r="X143" s="176">
        <v>15</v>
      </c>
      <c r="Y143" s="200" t="str">
        <f t="shared" si="24"/>
        <v>Sep-2014</v>
      </c>
      <c r="Z143" s="176">
        <v>16</v>
      </c>
      <c r="AA143" s="176">
        <f t="shared" si="37"/>
      </c>
      <c r="AB143" s="176">
        <f>IF(AA143="",AB142,AA143)</f>
        <v>19050</v>
      </c>
      <c r="AC143" s="176">
        <v>77.896</v>
      </c>
      <c r="AD143" s="176">
        <f t="shared" si="25"/>
        <v>14839</v>
      </c>
      <c r="AE143" s="176">
        <f t="shared" si="36"/>
        <v>14.5</v>
      </c>
      <c r="AF143" s="176">
        <f t="shared" si="26"/>
        <v>2762</v>
      </c>
      <c r="AG143" s="176">
        <f t="shared" si="38"/>
        <v>5144</v>
      </c>
      <c r="AH143" s="176">
        <f t="shared" si="27"/>
        <v>0</v>
      </c>
      <c r="AJ143" s="176">
        <f t="shared" si="28"/>
        <v>40270</v>
      </c>
      <c r="AK143" s="176">
        <v>8.908</v>
      </c>
      <c r="AL143" s="176">
        <f t="shared" si="29"/>
        <v>3587</v>
      </c>
      <c r="AM143" s="176">
        <f t="shared" si="30"/>
        <v>5839</v>
      </c>
      <c r="AN143" s="176">
        <f>IF($AL$112=2,LOOKUP(AJ143,$AO$117:$AO$120,$AP$117:AP134),IF($AL$112=3,LOOKUP(AJ143,$AO$117:$AO$120,$AR$117:$AR$120),IF($AL$112=3,LOOKUP(AJ143,$AO$117:$AO$120,$AR$117:$AR$120),0)))</f>
        <v>0</v>
      </c>
      <c r="AP143" s="176">
        <f t="shared" si="31"/>
        <v>1237</v>
      </c>
      <c r="AQ143" s="176">
        <f t="shared" si="32"/>
        <v>3587</v>
      </c>
      <c r="AR143" s="176">
        <f t="shared" si="33"/>
        <v>3077</v>
      </c>
      <c r="AY143" s="4">
        <v>30580</v>
      </c>
      <c r="AZ143" s="4">
        <v>29760</v>
      </c>
    </row>
    <row r="144" spans="16:52" ht="18.75" hidden="1">
      <c r="P144" s="211" t="str">
        <f t="shared" si="21"/>
        <v>Oct-2014</v>
      </c>
      <c r="Q144" s="200" t="str">
        <f t="shared" si="22"/>
        <v>Nov-2014</v>
      </c>
      <c r="T144" s="213">
        <v>17</v>
      </c>
      <c r="U144" s="189">
        <v>31</v>
      </c>
      <c r="V144" s="176">
        <f t="shared" si="23"/>
      </c>
      <c r="X144" s="176">
        <v>16</v>
      </c>
      <c r="Y144" s="200" t="str">
        <f t="shared" si="24"/>
        <v>Oct-2014</v>
      </c>
      <c r="Z144" s="176">
        <v>17</v>
      </c>
      <c r="AA144" s="176">
        <f t="shared" si="37"/>
      </c>
      <c r="AB144" s="176">
        <f t="shared" si="35"/>
        <v>19050</v>
      </c>
      <c r="AC144" s="176">
        <v>77.896</v>
      </c>
      <c r="AD144" s="176">
        <f t="shared" si="25"/>
        <v>14839</v>
      </c>
      <c r="AE144" s="176">
        <f t="shared" si="36"/>
        <v>14.5</v>
      </c>
      <c r="AF144" s="176">
        <f t="shared" si="26"/>
        <v>2762</v>
      </c>
      <c r="AG144" s="176">
        <f t="shared" si="38"/>
        <v>5144</v>
      </c>
      <c r="AH144" s="176">
        <f t="shared" si="27"/>
        <v>0</v>
      </c>
      <c r="AJ144" s="176">
        <f t="shared" si="28"/>
        <v>40270</v>
      </c>
      <c r="AK144" s="176">
        <v>8.908</v>
      </c>
      <c r="AL144" s="176">
        <f t="shared" si="29"/>
        <v>3587</v>
      </c>
      <c r="AM144" s="176">
        <f t="shared" si="30"/>
        <v>5839</v>
      </c>
      <c r="AN144" s="176">
        <f>IF($AL$112=2,LOOKUP(AJ144,$AO$117:$AO$120,$AP$117:AP135),IF($AL$112=3,LOOKUP(AJ144,$AO$117:$AO$120,$AR$117:$AR$120),IF($AL$112=3,LOOKUP(AJ144,$AO$117:$AO$120,$AR$117:$AR$120),0)))</f>
        <v>0</v>
      </c>
      <c r="AP144" s="176">
        <f t="shared" si="31"/>
        <v>1237</v>
      </c>
      <c r="AQ144" s="176">
        <f t="shared" si="32"/>
        <v>3587</v>
      </c>
      <c r="AR144" s="176">
        <f t="shared" si="33"/>
        <v>3077</v>
      </c>
      <c r="AY144" s="4">
        <v>31460</v>
      </c>
      <c r="AZ144" s="4">
        <v>30580</v>
      </c>
    </row>
    <row r="145" spans="16:52" ht="18.75" hidden="1">
      <c r="P145" s="211" t="str">
        <f t="shared" si="21"/>
        <v>Nov-2014</v>
      </c>
      <c r="Q145" s="200" t="str">
        <f t="shared" si="22"/>
        <v>Dec-2014</v>
      </c>
      <c r="T145" s="213">
        <v>18</v>
      </c>
      <c r="U145" s="189">
        <v>30</v>
      </c>
      <c r="V145" s="176">
        <f t="shared" si="23"/>
      </c>
      <c r="X145" s="176">
        <v>17</v>
      </c>
      <c r="Y145" s="200" t="str">
        <f t="shared" si="24"/>
        <v>Nov-2014</v>
      </c>
      <c r="Z145" s="176">
        <v>18</v>
      </c>
      <c r="AA145" s="176">
        <f t="shared" si="37"/>
        <v>19580</v>
      </c>
      <c r="AB145" s="176">
        <f t="shared" si="35"/>
        <v>19580</v>
      </c>
      <c r="AC145" s="176">
        <v>77.896</v>
      </c>
      <c r="AD145" s="176">
        <f t="shared" si="25"/>
        <v>15252</v>
      </c>
      <c r="AE145" s="176">
        <f t="shared" si="36"/>
        <v>14.5</v>
      </c>
      <c r="AF145" s="176">
        <f t="shared" si="26"/>
        <v>2839</v>
      </c>
      <c r="AG145" s="176">
        <f t="shared" si="38"/>
        <v>5287</v>
      </c>
      <c r="AH145" s="176">
        <f t="shared" si="27"/>
        <v>0</v>
      </c>
      <c r="AJ145" s="176">
        <f t="shared" si="28"/>
        <v>41380</v>
      </c>
      <c r="AK145" s="176">
        <v>8.908</v>
      </c>
      <c r="AL145" s="176">
        <f t="shared" si="29"/>
        <v>3686</v>
      </c>
      <c r="AM145" s="176">
        <f t="shared" si="30"/>
        <v>6000</v>
      </c>
      <c r="AN145" s="176">
        <f>IF($AL$112=2,LOOKUP(AJ145,$AO$117:$AO$120,$AP$117:AP136),IF($AL$112=3,LOOKUP(AJ145,$AO$117:$AO$120,$AR$117:$AR$120),IF($AL$112=3,LOOKUP(AJ145,$AO$117:$AO$120,$AR$117:$AR$120),0)))</f>
        <v>0</v>
      </c>
      <c r="AP145" s="176">
        <f t="shared" si="31"/>
        <v>1261</v>
      </c>
      <c r="AQ145" s="176">
        <f t="shared" si="32"/>
        <v>3686</v>
      </c>
      <c r="AR145" s="176">
        <f t="shared" si="33"/>
        <v>3161</v>
      </c>
      <c r="AY145" s="4">
        <v>32340</v>
      </c>
      <c r="AZ145" s="4">
        <v>31460</v>
      </c>
    </row>
    <row r="146" spans="16:52" ht="18.75" hidden="1">
      <c r="P146" s="211" t="str">
        <f t="shared" si="21"/>
        <v>Dec-2014</v>
      </c>
      <c r="Q146" s="200" t="str">
        <f t="shared" si="22"/>
        <v>Jan-2015</v>
      </c>
      <c r="T146" s="213">
        <v>19</v>
      </c>
      <c r="U146" s="189">
        <v>31</v>
      </c>
      <c r="V146" s="176">
        <f t="shared" si="23"/>
      </c>
      <c r="X146" s="176">
        <v>18</v>
      </c>
      <c r="Y146" s="200" t="str">
        <f t="shared" si="24"/>
        <v>Dec-2014</v>
      </c>
      <c r="Z146" s="176">
        <v>19</v>
      </c>
      <c r="AA146" s="176">
        <f t="shared" si="37"/>
      </c>
      <c r="AB146" s="176">
        <f t="shared" si="35"/>
        <v>19580</v>
      </c>
      <c r="AC146" s="176">
        <v>77.896</v>
      </c>
      <c r="AD146" s="176">
        <f t="shared" si="25"/>
        <v>15252</v>
      </c>
      <c r="AE146" s="176">
        <f t="shared" si="36"/>
        <v>14.5</v>
      </c>
      <c r="AF146" s="176">
        <f t="shared" si="26"/>
        <v>2839</v>
      </c>
      <c r="AG146" s="176">
        <f t="shared" si="38"/>
        <v>5287</v>
      </c>
      <c r="AH146" s="176">
        <f t="shared" si="27"/>
        <v>0</v>
      </c>
      <c r="AJ146" s="176">
        <f t="shared" si="28"/>
        <v>41380</v>
      </c>
      <c r="AK146" s="176">
        <v>8.908</v>
      </c>
      <c r="AL146" s="176">
        <f t="shared" si="29"/>
        <v>3686</v>
      </c>
      <c r="AM146" s="176">
        <f t="shared" si="30"/>
        <v>6000</v>
      </c>
      <c r="AN146" s="176">
        <f>IF($AL$112=2,LOOKUP(AJ146,$AO$117:$AO$120,$AP$117:AP137),IF($AL$112=3,LOOKUP(AJ146,$AO$117:$AO$120,$AR$117:$AR$120),IF($AL$112=3,LOOKUP(AJ146,$AO$117:$AO$120,$AR$117:$AR$120),0)))</f>
        <v>0</v>
      </c>
      <c r="AP146" s="176">
        <f t="shared" si="31"/>
        <v>1261</v>
      </c>
      <c r="AQ146" s="176">
        <f t="shared" si="32"/>
        <v>3686</v>
      </c>
      <c r="AR146" s="176">
        <f t="shared" si="33"/>
        <v>3161</v>
      </c>
      <c r="AY146" s="4">
        <v>33220</v>
      </c>
      <c r="AZ146" s="4">
        <v>32340</v>
      </c>
    </row>
    <row r="147" spans="16:52" ht="18.75" hidden="1">
      <c r="P147" s="211" t="str">
        <f t="shared" si="21"/>
        <v>Jan-2015</v>
      </c>
      <c r="Q147" s="200" t="str">
        <f t="shared" si="22"/>
        <v>Feb-2015</v>
      </c>
      <c r="T147" s="213">
        <v>20</v>
      </c>
      <c r="U147" s="189">
        <v>31</v>
      </c>
      <c r="V147" s="176">
        <f t="shared" si="23"/>
      </c>
      <c r="X147" s="176">
        <v>19</v>
      </c>
      <c r="Y147" s="200" t="str">
        <f t="shared" si="24"/>
        <v>Jan-2015</v>
      </c>
      <c r="Z147" s="176">
        <v>20</v>
      </c>
      <c r="AA147" s="176">
        <f t="shared" si="37"/>
      </c>
      <c r="AB147" s="176">
        <f>IF(AA147="",AB146,AA147)</f>
        <v>19580</v>
      </c>
      <c r="AC147" s="176">
        <v>77.896</v>
      </c>
      <c r="AD147" s="176">
        <f t="shared" si="25"/>
        <v>15252</v>
      </c>
      <c r="AE147" s="176">
        <f t="shared" si="36"/>
        <v>14.5</v>
      </c>
      <c r="AF147" s="176">
        <f t="shared" si="26"/>
        <v>2839</v>
      </c>
      <c r="AG147" s="176">
        <f t="shared" si="38"/>
        <v>5287</v>
      </c>
      <c r="AH147" s="176">
        <f t="shared" si="27"/>
        <v>0</v>
      </c>
      <c r="AJ147" s="176">
        <f t="shared" si="28"/>
        <v>41380</v>
      </c>
      <c r="AK147" s="176">
        <v>8.908</v>
      </c>
      <c r="AL147" s="176">
        <f t="shared" si="29"/>
        <v>3686</v>
      </c>
      <c r="AM147" s="176">
        <f t="shared" si="30"/>
        <v>6000</v>
      </c>
      <c r="AN147" s="176">
        <f>IF($AL$112=2,LOOKUP(AJ147,$AO$117:$AO$120,$AP$117:AP138),IF($AL$112=3,LOOKUP(AJ147,$AO$117:$AO$120,$AR$117:$AR$120),IF($AL$112=3,LOOKUP(AJ147,$AO$117:$AO$120,$AR$117:$AR$120),0)))</f>
        <v>0</v>
      </c>
      <c r="AP147" s="176">
        <f t="shared" si="31"/>
        <v>1261</v>
      </c>
      <c r="AQ147" s="176">
        <f t="shared" si="32"/>
        <v>3686</v>
      </c>
      <c r="AR147" s="176">
        <f t="shared" si="33"/>
        <v>3161</v>
      </c>
      <c r="AY147" s="4">
        <v>34170</v>
      </c>
      <c r="AZ147" s="4">
        <v>33220</v>
      </c>
    </row>
    <row r="148" spans="16:52" ht="18.75" hidden="1">
      <c r="P148" s="211" t="str">
        <f t="shared" si="21"/>
        <v>Feb-2015</v>
      </c>
      <c r="Q148" s="200" t="str">
        <f t="shared" si="22"/>
        <v>Mar-2015</v>
      </c>
      <c r="T148" s="213">
        <v>21</v>
      </c>
      <c r="U148" s="189">
        <v>28</v>
      </c>
      <c r="V148" s="176">
        <f t="shared" si="23"/>
      </c>
      <c r="X148" s="176">
        <v>20</v>
      </c>
      <c r="Y148" s="200" t="str">
        <f t="shared" si="24"/>
        <v>Feb-2015</v>
      </c>
      <c r="Z148" s="176">
        <v>21</v>
      </c>
      <c r="AA148" s="176">
        <f t="shared" si="37"/>
      </c>
      <c r="AB148" s="176">
        <f t="shared" si="35"/>
        <v>19580</v>
      </c>
      <c r="AC148" s="176">
        <v>77.896</v>
      </c>
      <c r="AD148" s="176">
        <f t="shared" si="25"/>
        <v>15252</v>
      </c>
      <c r="AE148" s="176">
        <f t="shared" si="36"/>
        <v>14.5</v>
      </c>
      <c r="AF148" s="176">
        <f t="shared" si="26"/>
        <v>2839</v>
      </c>
      <c r="AG148" s="176">
        <f t="shared" si="38"/>
        <v>5287</v>
      </c>
      <c r="AH148" s="176">
        <f t="shared" si="27"/>
        <v>0</v>
      </c>
      <c r="AJ148" s="176">
        <f t="shared" si="28"/>
        <v>41380</v>
      </c>
      <c r="AK148" s="176">
        <v>8.908</v>
      </c>
      <c r="AL148" s="176">
        <f t="shared" si="29"/>
        <v>3686</v>
      </c>
      <c r="AM148" s="176">
        <f t="shared" si="30"/>
        <v>6000</v>
      </c>
      <c r="AN148" s="176">
        <f>IF($AL$112=2,LOOKUP(AJ148,$AO$117:$AO$120,$AP$117:AP139),IF($AL$112=3,LOOKUP(AJ148,$AO$117:$AO$120,$AR$117:$AR$120),IF($AL$112=3,LOOKUP(AJ148,$AO$117:$AO$120,$AR$117:$AR$120),0)))</f>
        <v>0</v>
      </c>
      <c r="AP148" s="176">
        <f t="shared" si="31"/>
        <v>1261</v>
      </c>
      <c r="AQ148" s="176">
        <f t="shared" si="32"/>
        <v>3686</v>
      </c>
      <c r="AR148" s="176">
        <f t="shared" si="33"/>
        <v>3161</v>
      </c>
      <c r="AY148" s="4">
        <v>35120</v>
      </c>
      <c r="AZ148" s="4">
        <v>34170</v>
      </c>
    </row>
    <row r="149" spans="16:52" ht="18.75" hidden="1">
      <c r="P149" s="211" t="str">
        <f t="shared" si="21"/>
        <v>Mar-2015</v>
      </c>
      <c r="Q149" s="200" t="str">
        <f t="shared" si="22"/>
        <v>Apr-2015</v>
      </c>
      <c r="T149" s="213">
        <v>22</v>
      </c>
      <c r="U149" s="189">
        <v>31</v>
      </c>
      <c r="V149" s="176">
        <f t="shared" si="23"/>
      </c>
      <c r="X149" s="176">
        <v>21</v>
      </c>
      <c r="Y149" s="200" t="str">
        <f t="shared" si="24"/>
        <v>Mar-2015</v>
      </c>
      <c r="Z149" s="176">
        <v>22</v>
      </c>
      <c r="AA149" s="176">
        <f t="shared" si="37"/>
      </c>
      <c r="AB149" s="176">
        <f t="shared" si="35"/>
        <v>19580</v>
      </c>
      <c r="AC149" s="176">
        <v>77.896</v>
      </c>
      <c r="AD149" s="176">
        <f t="shared" si="25"/>
        <v>15252</v>
      </c>
      <c r="AE149" s="176">
        <f t="shared" si="36"/>
        <v>14.5</v>
      </c>
      <c r="AF149" s="176">
        <f>IF(AND(OR(AE149=12,AE149=14.5,AE149=20),ROUND(AB149*AE149/100,0)&gt;=8000),8000,IF(AND(AE149=30,ROUND(AB149*AE149/100,0)&gt;=12000),12000,ROUND(AB149*AE149/100,0)))</f>
        <v>2839</v>
      </c>
      <c r="AG149" s="176">
        <f t="shared" si="38"/>
        <v>5287</v>
      </c>
      <c r="AH149" s="176">
        <f t="shared" si="27"/>
        <v>0</v>
      </c>
      <c r="AJ149" s="176">
        <f t="shared" si="28"/>
        <v>41380</v>
      </c>
      <c r="AK149" s="176">
        <v>8.908</v>
      </c>
      <c r="AL149" s="176">
        <f t="shared" si="29"/>
        <v>3686</v>
      </c>
      <c r="AM149" s="176">
        <f t="shared" si="30"/>
        <v>6000</v>
      </c>
      <c r="AN149" s="176">
        <f>IF($AL$112=2,LOOKUP(AJ149,$AO$117:$AO$120,$AP$117:AP140),IF($AL$112=3,LOOKUP(AJ149,$AO$117:$AO$120,$AR$117:$AR$120),IF($AL$112=3,LOOKUP(AJ149,$AO$117:$AO$120,$AR$117:$AR$120),0)))</f>
        <v>0</v>
      </c>
      <c r="AP149" s="176">
        <f t="shared" si="31"/>
        <v>1261</v>
      </c>
      <c r="AQ149" s="176">
        <f t="shared" si="32"/>
        <v>3686</v>
      </c>
      <c r="AR149" s="176">
        <f t="shared" si="33"/>
        <v>3161</v>
      </c>
      <c r="AY149" s="5">
        <v>36070</v>
      </c>
      <c r="AZ149" s="4">
        <v>35120</v>
      </c>
    </row>
    <row r="150" spans="16:52" ht="18.75" hidden="1">
      <c r="P150" s="211" t="str">
        <f t="shared" si="21"/>
        <v>Apr-2015</v>
      </c>
      <c r="Q150" s="200" t="str">
        <f t="shared" si="22"/>
        <v>May-2015</v>
      </c>
      <c r="T150" s="213">
        <v>23</v>
      </c>
      <c r="U150" s="189">
        <v>30</v>
      </c>
      <c r="V150" s="176">
        <f t="shared" si="23"/>
      </c>
      <c r="X150" s="176">
        <v>22</v>
      </c>
      <c r="Y150" s="200" t="str">
        <f t="shared" si="24"/>
        <v>Apr-2015</v>
      </c>
      <c r="Z150" s="176">
        <v>23</v>
      </c>
      <c r="AA150" s="176">
        <f t="shared" si="37"/>
      </c>
      <c r="AB150" s="176">
        <f t="shared" si="35"/>
        <v>19580</v>
      </c>
      <c r="AC150" s="176">
        <v>77.896</v>
      </c>
      <c r="AD150" s="176">
        <f t="shared" si="25"/>
        <v>15252</v>
      </c>
      <c r="AE150" s="176">
        <f t="shared" si="36"/>
        <v>14.5</v>
      </c>
      <c r="AF150" s="176">
        <f t="shared" si="26"/>
        <v>2839</v>
      </c>
      <c r="AG150" s="176">
        <f t="shared" si="38"/>
        <v>5287</v>
      </c>
      <c r="AH150" s="176">
        <f>IF($AL$112=2,LOOKUP(AB150,$AO$112:$AO$115,$AP$112:$AP$115),IF($AL$112=3,LOOKUP(AB150,$AO$112:$AO$115,$AR$112:$AR$115),IF($AL$112=3,LOOKUP(AB150,$AO$112:$AO$115,$AR$112:$AR$115),0)))</f>
        <v>0</v>
      </c>
      <c r="AJ150" s="176">
        <f t="shared" si="28"/>
        <v>41380</v>
      </c>
      <c r="AK150" s="176">
        <v>8.908</v>
      </c>
      <c r="AL150" s="176">
        <f t="shared" si="29"/>
        <v>3686</v>
      </c>
      <c r="AM150" s="176">
        <f t="shared" si="30"/>
        <v>6000</v>
      </c>
      <c r="AN150" s="176">
        <f>IF($AL$112=2,LOOKUP(AJ150,$AO$117:$AO$120,$AP$117:AP141),IF($AL$112=3,LOOKUP(AJ150,$AO$117:$AO$120,$AR$117:$AR$120),IF($AL$112=3,LOOKUP(AJ150,$AO$117:$AO$120,$AR$117:$AR$120),0)))</f>
        <v>0</v>
      </c>
      <c r="AP150" s="176">
        <f t="shared" si="31"/>
        <v>1261</v>
      </c>
      <c r="AQ150" s="176">
        <f>AL150</f>
        <v>3686</v>
      </c>
      <c r="AR150" s="176">
        <f t="shared" si="33"/>
        <v>3161</v>
      </c>
      <c r="AY150" s="4">
        <v>37100</v>
      </c>
      <c r="AZ150" s="5">
        <v>36070</v>
      </c>
    </row>
    <row r="151" spans="16:52" ht="18.75" hidden="1">
      <c r="P151" s="211" t="str">
        <f t="shared" si="21"/>
        <v>May-2015</v>
      </c>
      <c r="Q151" s="200" t="str">
        <f t="shared" si="22"/>
        <v>Jun-2015</v>
      </c>
      <c r="T151" s="213">
        <v>24</v>
      </c>
      <c r="U151" s="189">
        <v>31</v>
      </c>
      <c r="V151" s="176">
        <f t="shared" si="23"/>
      </c>
      <c r="X151" s="176">
        <v>23</v>
      </c>
      <c r="Y151" s="200" t="str">
        <f t="shared" si="24"/>
        <v>May-2015</v>
      </c>
      <c r="Z151" s="176">
        <v>24</v>
      </c>
      <c r="AA151" s="176">
        <f t="shared" si="37"/>
      </c>
      <c r="AB151" s="176">
        <f t="shared" si="35"/>
        <v>19580</v>
      </c>
      <c r="AC151" s="176">
        <v>77.896</v>
      </c>
      <c r="AD151" s="176">
        <f t="shared" si="25"/>
        <v>15252</v>
      </c>
      <c r="AE151" s="176">
        <f t="shared" si="36"/>
        <v>14.5</v>
      </c>
      <c r="AF151" s="176">
        <f t="shared" si="26"/>
        <v>2839</v>
      </c>
      <c r="AG151" s="176">
        <f t="shared" si="38"/>
        <v>5287</v>
      </c>
      <c r="AH151" s="176">
        <f t="shared" si="27"/>
        <v>0</v>
      </c>
      <c r="AJ151" s="176">
        <f>VLOOKUP(AB151,$AU$54:$AY$116,5,0)</f>
        <v>41380</v>
      </c>
      <c r="AK151" s="176">
        <v>8.908</v>
      </c>
      <c r="AL151" s="176">
        <f t="shared" si="29"/>
        <v>3686</v>
      </c>
      <c r="AM151" s="176">
        <f>IF(AND(OR(AE151=12,AE151=14.5,AE151=20),ROUND(AJ151*AE151/100,0)&gt;=15000),15000,IF(AND(AE151=30,ROUND(AJ151*AE151/100,0)&gt;=20000),20000,ROUND(AJ151*AE151/100,0)))</f>
        <v>6000</v>
      </c>
      <c r="AN151" s="176">
        <f>IF($AL$112=2,LOOKUP(AJ151,$AO$117:$AO$120,$AP$117:AP142),IF($AL$112=3,LOOKUP(AJ151,$AO$117:$AO$120,$AR$117:$AR$120),IF($AL$112=3,LOOKUP(AJ151,$AO$117:$AO$120,$AR$117:$AR$120),0)))</f>
        <v>0</v>
      </c>
      <c r="AP151" s="176">
        <f t="shared" si="31"/>
        <v>1261</v>
      </c>
      <c r="AQ151" s="176">
        <f t="shared" si="32"/>
        <v>3686</v>
      </c>
      <c r="AR151" s="176">
        <f t="shared" si="33"/>
        <v>3161</v>
      </c>
      <c r="AY151" s="4">
        <v>38130</v>
      </c>
      <c r="AZ151" s="4">
        <v>37100</v>
      </c>
    </row>
    <row r="152" spans="16:52" ht="18.75" hidden="1">
      <c r="P152" s="211" t="str">
        <f t="shared" si="21"/>
        <v>Jun-2015</v>
      </c>
      <c r="Q152" s="200" t="str">
        <f t="shared" si="22"/>
        <v>Jul-2015</v>
      </c>
      <c r="T152" s="213">
        <v>25</v>
      </c>
      <c r="U152" s="189">
        <v>30</v>
      </c>
      <c r="V152" s="176">
        <f t="shared" si="23"/>
      </c>
      <c r="X152" s="176">
        <v>24</v>
      </c>
      <c r="Y152" s="200" t="str">
        <f t="shared" si="24"/>
        <v>Jun-2015</v>
      </c>
      <c r="Z152" s="176">
        <v>25</v>
      </c>
      <c r="AA152" s="176">
        <f t="shared" si="37"/>
      </c>
      <c r="AB152" s="176">
        <f t="shared" si="35"/>
        <v>19580</v>
      </c>
      <c r="AC152" s="176">
        <v>77.896</v>
      </c>
      <c r="AD152" s="176">
        <f t="shared" si="25"/>
        <v>15252</v>
      </c>
      <c r="AE152" s="176">
        <f t="shared" si="36"/>
        <v>14.5</v>
      </c>
      <c r="AF152" s="176">
        <f t="shared" si="26"/>
        <v>2839</v>
      </c>
      <c r="AG152" s="176">
        <f t="shared" si="38"/>
        <v>5287</v>
      </c>
      <c r="AH152" s="176">
        <f t="shared" si="27"/>
        <v>0</v>
      </c>
      <c r="AJ152" s="176">
        <f t="shared" si="28"/>
        <v>41380</v>
      </c>
      <c r="AK152" s="176">
        <v>8.908</v>
      </c>
      <c r="AL152" s="176">
        <f t="shared" si="29"/>
        <v>3686</v>
      </c>
      <c r="AM152" s="176">
        <f t="shared" si="30"/>
        <v>6000</v>
      </c>
      <c r="AN152" s="176">
        <f>IF($AL$112=2,LOOKUP(AJ152,$AO$117:$AO$120,$AP$117:AP143),IF($AL$112=3,LOOKUP(AJ152,$AO$117:$AO$120,$AR$117:$AR$120),IF($AL$112=3,LOOKUP(AJ152,$AO$117:$AO$120,$AR$117:$AR$120),0)))</f>
        <v>0</v>
      </c>
      <c r="AP152" s="176">
        <f t="shared" si="31"/>
        <v>1261</v>
      </c>
      <c r="AQ152" s="176">
        <f t="shared" si="32"/>
        <v>3686</v>
      </c>
      <c r="AR152" s="176">
        <f t="shared" si="33"/>
        <v>3161</v>
      </c>
      <c r="AY152" s="4">
        <v>39160</v>
      </c>
      <c r="AZ152" s="4">
        <v>38130</v>
      </c>
    </row>
    <row r="153" spans="16:52" ht="18.75" hidden="1">
      <c r="P153" s="211" t="str">
        <f>Y153</f>
        <v>Jul-2015</v>
      </c>
      <c r="Q153" s="200" t="str">
        <f t="shared" si="22"/>
        <v>Aug-2015</v>
      </c>
      <c r="T153" s="213">
        <v>26</v>
      </c>
      <c r="U153" s="189">
        <v>31</v>
      </c>
      <c r="V153" s="176">
        <f t="shared" si="23"/>
      </c>
      <c r="X153" s="176">
        <v>25</v>
      </c>
      <c r="Y153" s="200" t="str">
        <f t="shared" si="24"/>
        <v>Jul-2015</v>
      </c>
      <c r="Z153" s="176">
        <v>26</v>
      </c>
      <c r="AA153" s="176">
        <f t="shared" si="37"/>
      </c>
      <c r="AB153" s="176">
        <f>IF(AA153="",AB152,AA153)</f>
        <v>19580</v>
      </c>
      <c r="AC153" s="176">
        <v>77.896</v>
      </c>
      <c r="AD153" s="176">
        <f t="shared" si="25"/>
        <v>15252</v>
      </c>
      <c r="AE153" s="176">
        <f t="shared" si="36"/>
        <v>14.5</v>
      </c>
      <c r="AF153" s="176">
        <f t="shared" si="26"/>
        <v>2839</v>
      </c>
      <c r="AG153" s="176">
        <f t="shared" si="38"/>
        <v>5287</v>
      </c>
      <c r="AH153" s="176">
        <f t="shared" si="27"/>
        <v>0</v>
      </c>
      <c r="AJ153" s="176">
        <f t="shared" si="28"/>
        <v>41380</v>
      </c>
      <c r="AK153" s="176">
        <v>8.908</v>
      </c>
      <c r="AL153" s="176">
        <f t="shared" si="29"/>
        <v>3686</v>
      </c>
      <c r="AM153" s="176">
        <f t="shared" si="30"/>
        <v>6000</v>
      </c>
      <c r="AN153" s="176">
        <f>IF($AL$112=2,LOOKUP(AJ153,$AO$117:$AO$120,$AP$117:AP144),IF($AL$112=3,LOOKUP(AJ153,$AO$117:$AO$120,$AR$117:$AR$120),IF($AL$112=3,LOOKUP(AJ153,$AO$117:$AO$120,$AR$117:$AR$120),0)))</f>
        <v>0</v>
      </c>
      <c r="AP153" s="176">
        <f t="shared" si="31"/>
        <v>1261</v>
      </c>
      <c r="AQ153" s="176">
        <f t="shared" si="32"/>
        <v>3686</v>
      </c>
      <c r="AR153" s="176">
        <f t="shared" si="33"/>
        <v>3161</v>
      </c>
      <c r="AY153" s="4">
        <v>40270</v>
      </c>
      <c r="AZ153" s="4">
        <v>39160</v>
      </c>
    </row>
    <row r="154" spans="16:52" ht="18.75" hidden="1">
      <c r="P154" s="211" t="str">
        <f t="shared" si="21"/>
        <v>Aug-2015</v>
      </c>
      <c r="Q154" s="200" t="str">
        <f t="shared" si="22"/>
        <v>Sep-2015</v>
      </c>
      <c r="T154" s="213">
        <v>27</v>
      </c>
      <c r="U154" s="189">
        <v>31</v>
      </c>
      <c r="V154" s="176">
        <f t="shared" si="23"/>
      </c>
      <c r="X154" s="176">
        <v>26</v>
      </c>
      <c r="Y154" s="200" t="str">
        <f t="shared" si="24"/>
        <v>Aug-2015</v>
      </c>
      <c r="Z154" s="176">
        <v>27</v>
      </c>
      <c r="AA154" s="176">
        <f t="shared" si="37"/>
      </c>
      <c r="AB154" s="176">
        <f t="shared" si="35"/>
        <v>19580</v>
      </c>
      <c r="AC154" s="176">
        <v>77.896</v>
      </c>
      <c r="AD154" s="176">
        <f t="shared" si="25"/>
        <v>15252</v>
      </c>
      <c r="AE154" s="176">
        <f t="shared" si="36"/>
        <v>14.5</v>
      </c>
      <c r="AF154" s="176">
        <f t="shared" si="26"/>
        <v>2839</v>
      </c>
      <c r="AG154" s="176">
        <f t="shared" si="38"/>
        <v>5287</v>
      </c>
      <c r="AH154" s="176">
        <f t="shared" si="27"/>
        <v>0</v>
      </c>
      <c r="AJ154" s="176">
        <f t="shared" si="28"/>
        <v>41380</v>
      </c>
      <c r="AK154" s="176">
        <v>8.908</v>
      </c>
      <c r="AL154" s="176">
        <f t="shared" si="29"/>
        <v>3686</v>
      </c>
      <c r="AM154" s="176">
        <f t="shared" si="30"/>
        <v>6000</v>
      </c>
      <c r="AN154" s="176">
        <f>IF($AL$112=2,LOOKUP(AJ154,$AO$117:$AO$120,$AP$117:AP145),IF($AL$112=3,LOOKUP(AJ154,$AO$117:$AO$120,$AR$117:$AR$120),IF($AL$112=3,LOOKUP(AJ154,$AO$117:$AO$120,$AR$117:$AR$120),0)))</f>
        <v>0</v>
      </c>
      <c r="AP154" s="176">
        <f t="shared" si="31"/>
        <v>1261</v>
      </c>
      <c r="AQ154" s="176">
        <f t="shared" si="32"/>
        <v>3686</v>
      </c>
      <c r="AR154" s="176">
        <f t="shared" si="33"/>
        <v>3161</v>
      </c>
      <c r="AY154" s="4">
        <v>41380</v>
      </c>
      <c r="AZ154" s="4">
        <v>40270</v>
      </c>
    </row>
    <row r="155" spans="16:52" ht="18.75" hidden="1">
      <c r="P155" s="211" t="str">
        <f t="shared" si="21"/>
        <v>Sep-2015</v>
      </c>
      <c r="Q155" s="200" t="str">
        <f t="shared" si="22"/>
        <v>Oct-2015</v>
      </c>
      <c r="T155" s="213">
        <v>28</v>
      </c>
      <c r="U155" s="189">
        <v>30</v>
      </c>
      <c r="V155" s="176">
        <f t="shared" si="23"/>
      </c>
      <c r="X155" s="176">
        <v>27</v>
      </c>
      <c r="Y155" s="200" t="str">
        <f t="shared" si="24"/>
        <v>Sep-2015</v>
      </c>
      <c r="Z155" s="176">
        <v>28</v>
      </c>
      <c r="AA155" s="176">
        <f t="shared" si="37"/>
      </c>
      <c r="AB155" s="176">
        <f t="shared" si="35"/>
        <v>19580</v>
      </c>
      <c r="AC155" s="176">
        <v>77.896</v>
      </c>
      <c r="AD155" s="176">
        <f t="shared" si="25"/>
        <v>15252</v>
      </c>
      <c r="AE155" s="176">
        <f t="shared" si="36"/>
        <v>14.5</v>
      </c>
      <c r="AF155" s="176">
        <f t="shared" si="26"/>
        <v>2839</v>
      </c>
      <c r="AG155" s="176">
        <f t="shared" si="38"/>
        <v>5287</v>
      </c>
      <c r="AH155" s="176">
        <f t="shared" si="27"/>
        <v>0</v>
      </c>
      <c r="AJ155" s="176">
        <f t="shared" si="28"/>
        <v>41380</v>
      </c>
      <c r="AK155" s="176">
        <v>8.908</v>
      </c>
      <c r="AL155" s="176">
        <f t="shared" si="29"/>
        <v>3686</v>
      </c>
      <c r="AM155" s="176">
        <f t="shared" si="30"/>
        <v>6000</v>
      </c>
      <c r="AN155" s="176">
        <f>IF($AL$112=2,LOOKUP(AJ155,$AO$117:$AO$120,$AP$117:AP146),IF($AL$112=3,LOOKUP(AJ155,$AO$117:$AO$120,$AR$117:$AR$120),IF($AL$112=3,LOOKUP(AJ155,$AO$117:$AO$120,$AR$117:$AR$120),0)))</f>
        <v>0</v>
      </c>
      <c r="AP155" s="176">
        <f t="shared" si="31"/>
        <v>1261</v>
      </c>
      <c r="AQ155" s="176">
        <f t="shared" si="32"/>
        <v>3686</v>
      </c>
      <c r="AR155" s="176">
        <f t="shared" si="33"/>
        <v>3161</v>
      </c>
      <c r="AY155" s="4">
        <v>42490</v>
      </c>
      <c r="AZ155" s="4">
        <v>41380</v>
      </c>
    </row>
    <row r="156" spans="16:52" ht="18.75" hidden="1">
      <c r="P156" s="211" t="str">
        <f t="shared" si="21"/>
        <v>Oct-2015</v>
      </c>
      <c r="Q156" s="200" t="str">
        <f t="shared" si="22"/>
        <v>Nov-2015</v>
      </c>
      <c r="T156" s="213">
        <v>29</v>
      </c>
      <c r="U156" s="189">
        <v>31</v>
      </c>
      <c r="V156" s="176">
        <f t="shared" si="23"/>
      </c>
      <c r="X156" s="176">
        <v>28</v>
      </c>
      <c r="Y156" s="200" t="str">
        <f t="shared" si="24"/>
        <v>Oct-2015</v>
      </c>
      <c r="Z156" s="176">
        <v>29</v>
      </c>
      <c r="AA156" s="176">
        <f t="shared" si="37"/>
      </c>
      <c r="AB156" s="176">
        <f t="shared" si="35"/>
        <v>19580</v>
      </c>
      <c r="AC156" s="176">
        <v>77.896</v>
      </c>
      <c r="AD156" s="176">
        <f t="shared" si="25"/>
        <v>15252</v>
      </c>
      <c r="AE156" s="176">
        <f t="shared" si="36"/>
        <v>14.5</v>
      </c>
      <c r="AF156" s="176">
        <f t="shared" si="26"/>
        <v>2839</v>
      </c>
      <c r="AG156" s="176">
        <f t="shared" si="38"/>
        <v>5287</v>
      </c>
      <c r="AH156" s="176">
        <f t="shared" si="27"/>
        <v>0</v>
      </c>
      <c r="AJ156" s="176">
        <f t="shared" si="28"/>
        <v>41380</v>
      </c>
      <c r="AK156" s="176">
        <v>8.908</v>
      </c>
      <c r="AL156" s="176">
        <f t="shared" si="29"/>
        <v>3686</v>
      </c>
      <c r="AM156" s="176">
        <f t="shared" si="30"/>
        <v>6000</v>
      </c>
      <c r="AN156" s="176">
        <f>IF($AL$112=2,LOOKUP(AJ156,$AO$117:$AO$120,$AP$117:AP147),IF($AL$112=3,LOOKUP(AJ156,$AO$117:$AO$120,$AR$117:$AR$120),IF($AL$112=3,LOOKUP(AJ156,$AO$117:$AO$120,$AR$117:$AR$120),0)))</f>
        <v>0</v>
      </c>
      <c r="AP156" s="176">
        <f t="shared" si="31"/>
        <v>1261</v>
      </c>
      <c r="AQ156" s="176">
        <f t="shared" si="32"/>
        <v>3686</v>
      </c>
      <c r="AR156" s="176">
        <f t="shared" si="33"/>
        <v>3161</v>
      </c>
      <c r="AY156" s="4">
        <v>43680</v>
      </c>
      <c r="AZ156" s="4">
        <v>42490</v>
      </c>
    </row>
    <row r="157" spans="16:52" ht="18.75" hidden="1">
      <c r="P157" s="211" t="str">
        <f t="shared" si="21"/>
        <v>Nov-2015</v>
      </c>
      <c r="Q157" s="200" t="str">
        <f t="shared" si="22"/>
        <v>Dec-2015</v>
      </c>
      <c r="T157" s="213">
        <v>30</v>
      </c>
      <c r="U157" s="189">
        <v>30</v>
      </c>
      <c r="V157" s="176">
        <f t="shared" si="23"/>
      </c>
      <c r="X157" s="176">
        <v>29</v>
      </c>
      <c r="Y157" s="200" t="str">
        <f t="shared" si="24"/>
        <v>Nov-2015</v>
      </c>
      <c r="Z157" s="176">
        <v>30</v>
      </c>
      <c r="AA157" s="176">
        <f t="shared" si="37"/>
      </c>
      <c r="AB157" s="176">
        <f>IF(AA157="",AB156,AA157)</f>
        <v>19580</v>
      </c>
      <c r="AC157" s="176">
        <v>77.896</v>
      </c>
      <c r="AD157" s="176">
        <f t="shared" si="25"/>
        <v>15252</v>
      </c>
      <c r="AE157" s="176">
        <f t="shared" si="36"/>
        <v>14.5</v>
      </c>
      <c r="AF157" s="176">
        <f t="shared" si="26"/>
        <v>2839</v>
      </c>
      <c r="AG157" s="176">
        <f t="shared" si="38"/>
        <v>5287</v>
      </c>
      <c r="AH157" s="176">
        <f t="shared" si="27"/>
        <v>0</v>
      </c>
      <c r="AJ157" s="176">
        <f t="shared" si="28"/>
        <v>41380</v>
      </c>
      <c r="AK157" s="176">
        <v>8.908</v>
      </c>
      <c r="AL157" s="176">
        <f t="shared" si="29"/>
        <v>3686</v>
      </c>
      <c r="AM157" s="176">
        <f t="shared" si="30"/>
        <v>6000</v>
      </c>
      <c r="AN157" s="176">
        <f>IF($AL$112=2,LOOKUP(AJ157,$AO$117:$AO$120,$AP$117:AP148),IF($AL$112=3,LOOKUP(AJ157,$AO$117:$AO$120,$AR$117:$AR$120),IF($AL$112=3,LOOKUP(AJ157,$AO$117:$AO$120,$AR$117:$AR$120),0)))</f>
        <v>0</v>
      </c>
      <c r="AP157" s="176">
        <f t="shared" si="31"/>
        <v>1261</v>
      </c>
      <c r="AQ157" s="176">
        <f t="shared" si="32"/>
        <v>3686</v>
      </c>
      <c r="AR157" s="176">
        <f t="shared" si="33"/>
        <v>3161</v>
      </c>
      <c r="AY157" s="4">
        <v>44870</v>
      </c>
      <c r="AZ157" s="4">
        <v>43680</v>
      </c>
    </row>
    <row r="158" spans="16:52" ht="18.75" hidden="1">
      <c r="P158" s="211" t="str">
        <f t="shared" si="21"/>
        <v>Dec-2015</v>
      </c>
      <c r="Q158" s="200">
        <f t="shared" si="22"/>
        <v>0</v>
      </c>
      <c r="T158" s="213">
        <v>31</v>
      </c>
      <c r="U158" s="189">
        <v>31</v>
      </c>
      <c r="V158" s="176">
        <f t="shared" si="23"/>
      </c>
      <c r="X158" s="176">
        <v>30</v>
      </c>
      <c r="Y158" s="200" t="str">
        <f t="shared" si="24"/>
        <v>Dec-2015</v>
      </c>
      <c r="Z158" s="176">
        <v>31</v>
      </c>
      <c r="AA158" s="176">
        <f t="shared" si="37"/>
      </c>
      <c r="AB158" s="176">
        <f t="shared" si="35"/>
        <v>19580</v>
      </c>
      <c r="AC158" s="176">
        <v>77.896</v>
      </c>
      <c r="AD158" s="176">
        <f t="shared" si="25"/>
        <v>15252</v>
      </c>
      <c r="AE158" s="176">
        <f t="shared" si="36"/>
        <v>14.5</v>
      </c>
      <c r="AF158" s="176">
        <f t="shared" si="26"/>
        <v>2839</v>
      </c>
      <c r="AG158" s="176">
        <f t="shared" si="38"/>
        <v>5287</v>
      </c>
      <c r="AH158" s="176">
        <f t="shared" si="27"/>
        <v>0</v>
      </c>
      <c r="AJ158" s="176">
        <f t="shared" si="28"/>
        <v>41380</v>
      </c>
      <c r="AK158" s="176">
        <v>8.908</v>
      </c>
      <c r="AL158" s="176">
        <f t="shared" si="29"/>
        <v>3686</v>
      </c>
      <c r="AM158" s="176">
        <f t="shared" si="30"/>
        <v>6000</v>
      </c>
      <c r="AN158" s="176">
        <f>IF($AL$112=2,LOOKUP(AJ158,$AO$117:$AO$120,$AP$117:AP149),IF($AL$112=3,LOOKUP(AJ158,$AO$117:$AO$120,$AR$117:$AR$120),IF($AL$112=3,LOOKUP(AJ158,$AO$117:$AO$120,$AR$117:$AR$120),0)))</f>
        <v>0</v>
      </c>
      <c r="AP158" s="176">
        <f t="shared" si="31"/>
        <v>1261</v>
      </c>
      <c r="AQ158" s="176">
        <f t="shared" si="32"/>
        <v>3686</v>
      </c>
      <c r="AR158" s="176">
        <f t="shared" si="33"/>
        <v>3161</v>
      </c>
      <c r="AY158" s="4">
        <v>46060</v>
      </c>
      <c r="AZ158" s="4">
        <v>44870</v>
      </c>
    </row>
    <row r="159" spans="51:52" ht="18.75" hidden="1">
      <c r="AY159" s="4">
        <v>47330</v>
      </c>
      <c r="AZ159" s="4">
        <v>46060</v>
      </c>
    </row>
    <row r="160" spans="20:52" ht="18.75" hidden="1">
      <c r="T160" s="207"/>
      <c r="AY160" s="4">
        <v>48600</v>
      </c>
      <c r="AZ160" s="4">
        <v>47330</v>
      </c>
    </row>
    <row r="161" spans="23:52" ht="18.75" hidden="1">
      <c r="W161" s="176" t="s">
        <v>183</v>
      </c>
      <c r="Y161" s="207"/>
      <c r="AY161" s="4">
        <v>49870</v>
      </c>
      <c r="AZ161" s="4">
        <v>48600</v>
      </c>
    </row>
    <row r="162" spans="23:52" ht="18.75" hidden="1">
      <c r="W162" s="214"/>
      <c r="X162" s="215"/>
      <c r="Z162" s="215"/>
      <c r="AA162" s="215"/>
      <c r="AB162" s="215"/>
      <c r="AC162" s="215"/>
      <c r="AD162" s="215"/>
      <c r="AE162" s="216">
        <f>Y167</f>
      </c>
      <c r="AF162" s="215" t="e">
        <f>VLOOKUP(AE162,Y129:AG158,4,0)</f>
        <v>#N/A</v>
      </c>
      <c r="AG162" s="215" t="e">
        <f>VLOOKUP(AE162,Y129:AG158,6,0)</f>
        <v>#N/A</v>
      </c>
      <c r="AH162" s="215" t="e">
        <f>VLOOKUP(AE162,Y129:AG158,8,0)</f>
        <v>#N/A</v>
      </c>
      <c r="AI162" s="215" t="e">
        <f>VLOOKUP(AE162,Y129:AG158,9,0)</f>
        <v>#N/A</v>
      </c>
      <c r="AJ162" s="217"/>
      <c r="AK162" s="214"/>
      <c r="AL162" s="215"/>
      <c r="AM162" s="215" t="e">
        <f>VLOOKUP(AE162,Y129:AM158,12,0)</f>
        <v>#N/A</v>
      </c>
      <c r="AN162" s="215" t="e">
        <f>VLOOKUP(AE162,Y129:AM158,14,0)</f>
        <v>#N/A</v>
      </c>
      <c r="AO162" s="215" t="e">
        <f>VLOOKUP(AE162,Y129:AM158,15,0)</f>
        <v>#N/A</v>
      </c>
      <c r="AP162" s="215"/>
      <c r="AQ162" s="217"/>
      <c r="AY162" s="4">
        <v>51230</v>
      </c>
      <c r="AZ162" s="4">
        <v>49870</v>
      </c>
    </row>
    <row r="163" spans="23:52" ht="18.75" hidden="1">
      <c r="W163" s="218"/>
      <c r="X163" s="219"/>
      <c r="Z163" s="219"/>
      <c r="AA163" s="219"/>
      <c r="AB163" s="219"/>
      <c r="AC163" s="219"/>
      <c r="AD163" s="219"/>
      <c r="AE163" s="220" t="e">
        <f>VLOOKUP(AE162,P129:Q158,2,0)</f>
        <v>#N/A</v>
      </c>
      <c r="AF163" s="219" t="e">
        <f>VLOOKUP(AE163,Y129:AG158,4,0)</f>
        <v>#N/A</v>
      </c>
      <c r="AG163" s="215" t="e">
        <f>VLOOKUP(AE163,Y130:AG159,6,0)</f>
        <v>#N/A</v>
      </c>
      <c r="AH163" s="215" t="e">
        <f>VLOOKUP(AE163,Y130:AG159,8,0)</f>
        <v>#N/A</v>
      </c>
      <c r="AI163" s="215" t="e">
        <f>VLOOKUP(AE163,Y130:AG159,9,0)</f>
        <v>#N/A</v>
      </c>
      <c r="AJ163" s="221"/>
      <c r="AK163" s="218"/>
      <c r="AL163" s="219"/>
      <c r="AM163" s="215" t="e">
        <f>VLOOKUP(AE163,Y130:AM159,12,0)</f>
        <v>#N/A</v>
      </c>
      <c r="AN163" s="215" t="e">
        <f>VLOOKUP(AE163,Y130:AM159,14,0)</f>
        <v>#N/A</v>
      </c>
      <c r="AO163" s="215" t="e">
        <f>VLOOKUP(AE163,Y130:AM159,15,0)</f>
        <v>#N/A</v>
      </c>
      <c r="AP163" s="219"/>
      <c r="AQ163" s="221"/>
      <c r="AY163" s="4">
        <v>52590</v>
      </c>
      <c r="AZ163" s="4">
        <v>51230</v>
      </c>
    </row>
    <row r="164" spans="23:52" ht="18.75" hidden="1">
      <c r="W164" s="218"/>
      <c r="X164" s="219" t="s">
        <v>169</v>
      </c>
      <c r="Y164" s="220"/>
      <c r="Z164" s="219"/>
      <c r="AA164" s="219"/>
      <c r="AB164" s="219"/>
      <c r="AC164" s="219"/>
      <c r="AD164" s="219"/>
      <c r="AE164" s="219"/>
      <c r="AF164" s="219" t="e">
        <f>AF163-AF162</f>
        <v>#N/A</v>
      </c>
      <c r="AG164" s="219" t="e">
        <f>AG163-AG162</f>
        <v>#N/A</v>
      </c>
      <c r="AH164" s="219" t="e">
        <f>AH163-AH162</f>
        <v>#N/A</v>
      </c>
      <c r="AI164" s="219" t="e">
        <f>AI163-AI162</f>
        <v>#N/A</v>
      </c>
      <c r="AJ164" s="221"/>
      <c r="AK164" s="218"/>
      <c r="AL164" s="219"/>
      <c r="AM164" s="219" t="e">
        <f>AM163-AM162</f>
        <v>#N/A</v>
      </c>
      <c r="AN164" s="219" t="e">
        <f>AN163-AN162</f>
        <v>#N/A</v>
      </c>
      <c r="AO164" s="219" t="e">
        <f>AO163-AO162</f>
        <v>#N/A</v>
      </c>
      <c r="AP164" s="219"/>
      <c r="AQ164" s="221"/>
      <c r="AY164" s="4">
        <v>53950</v>
      </c>
      <c r="AZ164" s="4">
        <v>52590</v>
      </c>
    </row>
    <row r="165" spans="23:52" ht="18.75" hidden="1">
      <c r="W165" s="218"/>
      <c r="X165" s="219"/>
      <c r="Y165" s="219"/>
      <c r="Z165" s="219"/>
      <c r="AA165" s="219"/>
      <c r="AB165" s="219"/>
      <c r="AC165" s="223" t="e">
        <f>VLOOKUP(AE162,$P$129:$U$158,6,0)</f>
        <v>#N/A</v>
      </c>
      <c r="AD165" s="219"/>
      <c r="AE165" s="219"/>
      <c r="AF165" s="224" t="e">
        <f>ROUND(AF164*$AC$167/$AC$165,0)</f>
        <v>#N/A</v>
      </c>
      <c r="AG165" s="224" t="e">
        <f>ROUND(AG164*$AC$167/$AC$165,0)</f>
        <v>#N/A</v>
      </c>
      <c r="AH165" s="224" t="e">
        <f>ROUND(AH164*$AC$167/$AC$165,0)</f>
        <v>#N/A</v>
      </c>
      <c r="AI165" s="224" t="e">
        <f>ROUND(AI164*$AC$167/$AC$165,0)</f>
        <v>#N/A</v>
      </c>
      <c r="AJ165" s="221"/>
      <c r="AK165" s="218"/>
      <c r="AL165" s="219"/>
      <c r="AM165" s="219" t="e">
        <f>ROUND(AM164*$AC$167/$AC$165,0)</f>
        <v>#N/A</v>
      </c>
      <c r="AN165" s="219" t="e">
        <f>ROUND(AN164*$AC$167/$AC$165,0)</f>
        <v>#N/A</v>
      </c>
      <c r="AO165" s="219" t="e">
        <f>ROUND(AO164*$AC$167/$AC$165,0)</f>
        <v>#N/A</v>
      </c>
      <c r="AP165" s="219"/>
      <c r="AQ165" s="221"/>
      <c r="AY165" s="4">
        <v>55410</v>
      </c>
      <c r="AZ165" s="4">
        <v>53950</v>
      </c>
    </row>
    <row r="166" spans="23:52" ht="18.75" hidden="1">
      <c r="W166" s="222">
        <f>IF(ISNA(IF(VLOOKUP(3,$AB$123:$AB$126,1,0),3,"")),0,IF(VLOOKUP(3,$AB$123:$AB$126,1,0),3,""))</f>
        <v>0</v>
      </c>
      <c r="X166" s="223" t="s">
        <v>171</v>
      </c>
      <c r="Y166" s="219"/>
      <c r="Z166" s="223" t="s">
        <v>172</v>
      </c>
      <c r="AA166" s="219" t="s">
        <v>173</v>
      </c>
      <c r="AB166" s="219" t="s">
        <v>175</v>
      </c>
      <c r="AC166" s="219" t="s">
        <v>174</v>
      </c>
      <c r="AD166" s="219" t="s">
        <v>176</v>
      </c>
      <c r="AE166" s="219"/>
      <c r="AF166" s="219" t="s">
        <v>178</v>
      </c>
      <c r="AG166" s="219" t="s">
        <v>109</v>
      </c>
      <c r="AH166" s="219" t="s">
        <v>57</v>
      </c>
      <c r="AI166" s="219" t="s">
        <v>137</v>
      </c>
      <c r="AJ166" s="221"/>
      <c r="AK166" s="218"/>
      <c r="AL166" s="219"/>
      <c r="AM166" s="219" t="s">
        <v>177</v>
      </c>
      <c r="AN166" s="219" t="s">
        <v>109</v>
      </c>
      <c r="AO166" s="219" t="s">
        <v>57</v>
      </c>
      <c r="AP166" s="219"/>
      <c r="AQ166" s="221"/>
      <c r="AY166" s="4">
        <v>56870</v>
      </c>
      <c r="AZ166" s="4">
        <v>55410</v>
      </c>
    </row>
    <row r="167" spans="23:52" ht="18.75" hidden="1">
      <c r="W167" s="218"/>
      <c r="X167" s="224">
        <f>IF(ISNA(VLOOKUP(W166,$AB$123:$AF$126,4,0)),"",VLOOKUP(W166,$AB$123:$AF$126,4,0))</f>
      </c>
      <c r="Y167" s="219">
        <f>IF(ISNA(INDEX(AF123:AF126,MATCH(X167,AE123:AE126,0))),"",INDEX(AF123:AF126,MATCH(X167,AE123:AE126,0)))</f>
      </c>
      <c r="Z167" s="219">
        <f>_xlfn.IFERROR(INDEX(AD123:AD126,MATCH(X167,AE123:AE126,0)),"")</f>
      </c>
      <c r="AA167" s="219">
        <f>_xlfn.IFERROR(Z167-1,"")</f>
      </c>
      <c r="AB167" s="219">
        <f>IF(AA167="","",INDEX($U$129:$U$158,MATCH(Z167,$V$129:$V$158,0)))</f>
      </c>
      <c r="AC167" s="223" t="e">
        <f>VLOOKUP(AE162,$P$129:$U$158,6,0)-Z167+1</f>
        <v>#N/A</v>
      </c>
      <c r="AD167" s="219">
        <f>IF(AB167="","",Z167&amp;"-"&amp;AC165&amp;"/"&amp;Y167)</f>
      </c>
      <c r="AE167" s="219"/>
      <c r="AF167" s="219">
        <f>_xlfn.IFERROR(VLOOKUP(X167+1,$T$129:$AF$158,9,0),"")</f>
      </c>
      <c r="AG167" s="219">
        <f>_xlfn.IFERROR(VLOOKUP(X167+1,$T$129:$AF$158,11,0),"")</f>
      </c>
      <c r="AH167" s="219">
        <f>_xlfn.IFERROR(VLOOKUP(X167+1,$T$129:$AF$158,13,0),"")</f>
      </c>
      <c r="AI167" s="219">
        <f>_xlfn.IFERROR(VLOOKUP(X167+1,$T$129:$AG$158,14,0),"")</f>
      </c>
      <c r="AJ167" s="221"/>
      <c r="AK167" s="218"/>
      <c r="AL167" s="219"/>
      <c r="AM167" s="219">
        <f>_xlfn.IFERROR(VLOOKUP(X167+1,$Z$129:$AR$158,11,0),"")</f>
      </c>
      <c r="AN167" s="219">
        <f>_xlfn.IFERROR(VLOOKUP(X167+1,$Z$129:$AR$158,13,0),"")</f>
      </c>
      <c r="AO167" s="219">
        <f>_xlfn.IFERROR(VLOOKUP(X167+1,$Z$129:$AR$158,14,0),"")</f>
      </c>
      <c r="AP167" s="219"/>
      <c r="AQ167" s="221"/>
      <c r="AY167" s="4">
        <v>58330</v>
      </c>
      <c r="AZ167" s="4">
        <v>56870</v>
      </c>
    </row>
    <row r="168" spans="23:52" ht="18.75" hidden="1">
      <c r="W168" s="218"/>
      <c r="X168" s="219"/>
      <c r="Y168" s="220"/>
      <c r="Z168" s="219"/>
      <c r="AA168" s="219"/>
      <c r="AB168" s="219"/>
      <c r="AC168" s="219" t="s">
        <v>179</v>
      </c>
      <c r="AD168" s="219"/>
      <c r="AE168" s="219"/>
      <c r="AF168" s="225" t="e">
        <f>IF($Z$167=$AC$165,"",AF165)</f>
        <v>#N/A</v>
      </c>
      <c r="AG168" s="225" t="e">
        <f>IF($Z$167=$AC$165,"",AG165)</f>
        <v>#N/A</v>
      </c>
      <c r="AH168" s="225" t="e">
        <f>IF($Z$167=$AC$165,"",AH165)</f>
        <v>#N/A</v>
      </c>
      <c r="AI168" s="225" t="e">
        <f>IF($Z$167=$AC$165,"",AI165)</f>
        <v>#N/A</v>
      </c>
      <c r="AJ168" s="221"/>
      <c r="AK168" s="218"/>
      <c r="AL168" s="219"/>
      <c r="AM168" s="225" t="e">
        <f>IF($Z$167=$AC$165,"",AM165)</f>
        <v>#N/A</v>
      </c>
      <c r="AN168" s="225" t="e">
        <f>IF($Z$167=$AC$165,"",AN165)</f>
        <v>#N/A</v>
      </c>
      <c r="AO168" s="225" t="e">
        <f>IF($Z$167=$AC$165,"",AO165)</f>
        <v>#N/A</v>
      </c>
      <c r="AP168" s="219"/>
      <c r="AQ168" s="221"/>
      <c r="AY168" s="4">
        <v>59890</v>
      </c>
      <c r="AZ168" s="4">
        <v>58330</v>
      </c>
    </row>
    <row r="169" spans="23:52" ht="18.75" hidden="1">
      <c r="W169" s="218"/>
      <c r="X169" s="219"/>
      <c r="Y169" s="219"/>
      <c r="Z169" s="219"/>
      <c r="AA169" s="219"/>
      <c r="AB169" s="219"/>
      <c r="AC169" s="219"/>
      <c r="AD169" s="219"/>
      <c r="AE169" s="219"/>
      <c r="AF169" s="219"/>
      <c r="AG169" s="219"/>
      <c r="AH169" s="219"/>
      <c r="AI169" s="219"/>
      <c r="AJ169" s="221"/>
      <c r="AK169" s="218"/>
      <c r="AL169" s="219"/>
      <c r="AM169" s="219"/>
      <c r="AN169" s="219"/>
      <c r="AO169" s="219"/>
      <c r="AP169" s="219"/>
      <c r="AQ169" s="221"/>
      <c r="AY169" s="4">
        <v>61450</v>
      </c>
      <c r="AZ169" s="4">
        <v>59890</v>
      </c>
    </row>
    <row r="170" spans="23:52" ht="18.75" hidden="1">
      <c r="W170" s="218"/>
      <c r="X170" s="219"/>
      <c r="Y170" s="219"/>
      <c r="Z170" s="219"/>
      <c r="AA170" s="219"/>
      <c r="AB170" s="219"/>
      <c r="AC170" s="223"/>
      <c r="AD170" s="219"/>
      <c r="AE170" s="219"/>
      <c r="AF170" s="219"/>
      <c r="AG170" s="219"/>
      <c r="AH170" s="219"/>
      <c r="AI170" s="219"/>
      <c r="AJ170" s="221"/>
      <c r="AK170" s="218"/>
      <c r="AL170" s="219"/>
      <c r="AM170" s="219"/>
      <c r="AN170" s="219"/>
      <c r="AO170" s="219"/>
      <c r="AP170" s="219"/>
      <c r="AQ170" s="221"/>
      <c r="AY170" s="4">
        <v>63010</v>
      </c>
      <c r="AZ170" s="4">
        <v>61450</v>
      </c>
    </row>
    <row r="171" spans="23:52" ht="18.75" hidden="1">
      <c r="W171" s="222">
        <f>IF(ISNA(IF(VLOOKUP(4,$AB$123:$AB$126,1,0),4,"")),0,IF(VLOOKUP(4,$AB$123:$AB$126,1,0),4,""))</f>
        <v>0</v>
      </c>
      <c r="X171" s="219" t="s">
        <v>181</v>
      </c>
      <c r="Y171" s="219"/>
      <c r="Z171" s="219"/>
      <c r="AA171" s="219"/>
      <c r="AB171" s="219"/>
      <c r="AC171" s="219"/>
      <c r="AD171" s="219"/>
      <c r="AE171" s="219"/>
      <c r="AF171" s="219"/>
      <c r="AG171" s="219"/>
      <c r="AH171" s="219"/>
      <c r="AI171" s="219"/>
      <c r="AJ171" s="221"/>
      <c r="AK171" s="218"/>
      <c r="AL171" s="219"/>
      <c r="AM171" s="219"/>
      <c r="AN171" s="219"/>
      <c r="AO171" s="219"/>
      <c r="AP171" s="219"/>
      <c r="AQ171" s="221"/>
      <c r="AY171" s="4">
        <v>64670</v>
      </c>
      <c r="AZ171" s="4">
        <v>63010</v>
      </c>
    </row>
    <row r="172" spans="23:52" ht="18.75" hidden="1">
      <c r="W172" s="218"/>
      <c r="X172" s="224">
        <f>_xlfn.IFERROR(LOOKUP(W171,$AB$123:$AB$126,$AE$123:$AE$126),"")</f>
      </c>
      <c r="Y172" s="219">
        <f>_xlfn.IFERROR(INDEX($AF$123:$AF$126,MATCH(X172,$AE$123:$AE$126,0)),"")</f>
      </c>
      <c r="Z172" s="219">
        <f>_xlfn.IFERROR(INDEX($AD$123:$AD$126,MATCH(X172,$AE$123:$AE$126,0)),"")</f>
      </c>
      <c r="AA172" s="219">
        <f>_xlfn.IFERROR(Z172-1,"")</f>
      </c>
      <c r="AB172" s="219">
        <f>_xlfn.IFERROR(INDEX($U$129:$U$158,MATCH(Y172,$Y$129:$Y$158,0)),"")</f>
      </c>
      <c r="AC172" s="223">
        <f>_xlfn.IFERROR(AB172-AA172,"")</f>
      </c>
      <c r="AD172" s="219">
        <f>IF(AC172="","","1-"&amp;AC172&amp;"/"&amp;Y172)</f>
      </c>
      <c r="AE172" s="219"/>
      <c r="AF172" s="219">
        <f>_xlfn.IFERROR(VLOOKUP(X172+1,$T$129:$AF$158,9,0),"")</f>
      </c>
      <c r="AG172" s="219">
        <f>_xlfn.IFERROR(VLOOKUP(X172+1,$T$129:$AF$158,11,0),"")</f>
      </c>
      <c r="AH172" s="219">
        <f>_xlfn.IFERROR(VLOOKUP(X172+1,$T$129:$AF$158,13,0),"")</f>
      </c>
      <c r="AI172" s="219">
        <f>_xlfn.IFERROR(VLOOKUP(X172+1,$T$129:$AG$158,14,0),"")</f>
      </c>
      <c r="AJ172" s="221"/>
      <c r="AK172" s="218"/>
      <c r="AL172" s="219"/>
      <c r="AM172" s="219">
        <f>_xlfn.IFERROR(VLOOKUP(X172+1,$Z$129:$AR$158,11,0),"")</f>
      </c>
      <c r="AN172" s="219">
        <f>_xlfn.IFERROR(VLOOKUP(X172+1,$Z$129:$AR$158,13,0),"")</f>
      </c>
      <c r="AO172" s="219">
        <f>_xlfn.IFERROR(VLOOKUP(X172+1,$Z$129:$AR$158,14,0),"")</f>
      </c>
      <c r="AP172" s="219"/>
      <c r="AQ172" s="221"/>
      <c r="AY172" s="4">
        <v>66330</v>
      </c>
      <c r="AZ172" s="4">
        <v>64670</v>
      </c>
    </row>
    <row r="173" spans="23:52" ht="18.75" hidden="1">
      <c r="W173" s="218"/>
      <c r="X173" s="219"/>
      <c r="Y173" s="219"/>
      <c r="Z173" s="219"/>
      <c r="AA173" s="219"/>
      <c r="AB173" s="219"/>
      <c r="AC173" s="219"/>
      <c r="AD173" s="219"/>
      <c r="AE173" s="219"/>
      <c r="AF173" s="225">
        <f>_xlfn.IFERROR(ROUND(AF172*$AC$172/$AB$172,0),"")</f>
      </c>
      <c r="AG173" s="225">
        <f>_xlfn.IFERROR(ROUND(AG172*$AC$172/$AB$172,0),"")</f>
      </c>
      <c r="AH173" s="225">
        <f>_xlfn.IFERROR(ROUND(AH172*$AC$172/$AB$172,0),"")</f>
      </c>
      <c r="AI173" s="225">
        <f>_xlfn.IFERROR(ROUND(AI172*$AC$172/$AB$172,0),"")</f>
      </c>
      <c r="AJ173" s="221"/>
      <c r="AK173" s="218"/>
      <c r="AL173" s="219"/>
      <c r="AM173" s="225">
        <f>_xlfn.IFERROR(ROUND(AM172*$AC$172/$AB$172,0),"")</f>
      </c>
      <c r="AN173" s="225">
        <f>_xlfn.IFERROR(ROUND(AN172*$AC$172/$AB$172,0),"")</f>
      </c>
      <c r="AO173" s="225">
        <f>_xlfn.IFERROR(ROUND(AO172*$AC$172/$AB$172,0),"")</f>
      </c>
      <c r="AP173" s="219"/>
      <c r="AQ173" s="221"/>
      <c r="AY173" s="4">
        <v>67990</v>
      </c>
      <c r="AZ173" s="4">
        <v>66330</v>
      </c>
    </row>
    <row r="174" spans="23:52" ht="18.75" hidden="1">
      <c r="W174" s="218"/>
      <c r="X174" s="219"/>
      <c r="Y174" s="219"/>
      <c r="Z174" s="219"/>
      <c r="AA174" s="219"/>
      <c r="AB174" s="219"/>
      <c r="AC174" s="219"/>
      <c r="AD174" s="219"/>
      <c r="AE174" s="219"/>
      <c r="AF174" s="219"/>
      <c r="AG174" s="219"/>
      <c r="AH174" s="219"/>
      <c r="AI174" s="219"/>
      <c r="AJ174" s="221"/>
      <c r="AK174" s="218"/>
      <c r="AL174" s="219"/>
      <c r="AM174" s="219"/>
      <c r="AN174" s="219"/>
      <c r="AO174" s="219"/>
      <c r="AP174" s="219"/>
      <c r="AQ174" s="221"/>
      <c r="AY174" s="4">
        <v>69750</v>
      </c>
      <c r="AZ174" s="4">
        <v>67990</v>
      </c>
    </row>
    <row r="175" spans="23:52" ht="18.75" hidden="1">
      <c r="W175" s="222">
        <f>IF(ISNA(IF(VLOOKUP(5,$AB$123:$AB$126,1,0),5,"")),0,IF(VLOOKUP(5,$AB$123:$AB$126,1,0),5,""))</f>
        <v>0</v>
      </c>
      <c r="X175" s="219" t="s">
        <v>182</v>
      </c>
      <c r="Y175" s="219"/>
      <c r="Z175" s="219"/>
      <c r="AA175" s="219"/>
      <c r="AB175" s="219"/>
      <c r="AC175" s="219"/>
      <c r="AD175" s="219"/>
      <c r="AE175" s="219"/>
      <c r="AF175" s="219"/>
      <c r="AG175" s="219"/>
      <c r="AH175" s="219"/>
      <c r="AI175" s="219"/>
      <c r="AJ175" s="221"/>
      <c r="AK175" s="218"/>
      <c r="AL175" s="219"/>
      <c r="AM175" s="219"/>
      <c r="AN175" s="219"/>
      <c r="AO175" s="219"/>
      <c r="AP175" s="219"/>
      <c r="AQ175" s="221"/>
      <c r="AY175" s="4">
        <v>71510</v>
      </c>
      <c r="AZ175" s="4">
        <v>69750</v>
      </c>
    </row>
    <row r="176" spans="23:52" ht="18.75" hidden="1">
      <c r="W176" s="218"/>
      <c r="X176" s="224">
        <f>_xlfn.IFERROR(LOOKUP(W175,$AB$123:$AB$126,$AE$123:$AE$126),"")</f>
      </c>
      <c r="Y176" s="219">
        <f>_xlfn.IFERROR(INDEX($AF$123:$AF$126,MATCH(X176,$AE$123:$AE$126,0)),"")</f>
      </c>
      <c r="Z176" s="219">
        <f>_xlfn.IFERROR(INDEX($AD$123:$AD$126,MATCH(X176,$AE$123:$AE$126,0)),"")</f>
      </c>
      <c r="AA176" s="219">
        <f>_xlfn.IFERROR(Z176-1,"")</f>
      </c>
      <c r="AB176" s="219">
        <f>_xlfn.IFERROR(INDEX($U$129:$U$158,MATCH(Y176,$Y$129:$Y$158,0)),"")</f>
      </c>
      <c r="AC176" s="223">
        <f>_xlfn.IFERROR(AB176-AA176,"")</f>
      </c>
      <c r="AD176" s="219">
        <f>IF(AC176="","","1-"&amp;AC176&amp;"/"&amp;Y176)</f>
      </c>
      <c r="AE176" s="219"/>
      <c r="AF176" s="219">
        <f>_xlfn.IFERROR(VLOOKUP(X176+1,$T$129:$AF$158,9,0),"")</f>
      </c>
      <c r="AG176" s="219">
        <f>_xlfn.IFERROR(VLOOKUP(X176+1,$T$129:$AF$158,11,0),"")</f>
      </c>
      <c r="AH176" s="219">
        <f>_xlfn.IFERROR(VLOOKUP(X176+1,$T$129:$AF$158,13,0),"")</f>
      </c>
      <c r="AI176" s="219">
        <f>_xlfn.IFERROR(VLOOKUP(X176+1,$T$129:$AG$158,14,0),"")</f>
      </c>
      <c r="AJ176" s="221"/>
      <c r="AK176" s="218"/>
      <c r="AL176" s="219"/>
      <c r="AM176" s="219"/>
      <c r="AN176" s="219"/>
      <c r="AO176" s="219"/>
      <c r="AP176" s="219"/>
      <c r="AQ176" s="221"/>
      <c r="AY176" s="4">
        <v>73270</v>
      </c>
      <c r="AZ176" s="4">
        <v>71510</v>
      </c>
    </row>
    <row r="177" spans="23:52" ht="18.75" hidden="1">
      <c r="W177" s="222"/>
      <c r="X177" s="219"/>
      <c r="Y177" s="219"/>
      <c r="Z177" s="219"/>
      <c r="AA177" s="219"/>
      <c r="AB177" s="219"/>
      <c r="AC177" s="219"/>
      <c r="AD177" s="219"/>
      <c r="AE177" s="219"/>
      <c r="AF177" s="225">
        <f>_xlfn.IFERROR(ROUND(AF176*$AC$176/$AB$176,0),"")</f>
      </c>
      <c r="AG177" s="225">
        <f>_xlfn.IFERROR(ROUND(AG176*$AC$176/$AB$176,0),"")</f>
      </c>
      <c r="AH177" s="225">
        <f>_xlfn.IFERROR(ROUND(AH176*$AC$176/$AB$176,0),"")</f>
      </c>
      <c r="AI177" s="225">
        <f>_xlfn.IFERROR(ROUND(AI176*$AC$176/$AB$176,0),"")</f>
      </c>
      <c r="AJ177" s="221"/>
      <c r="AK177" s="218"/>
      <c r="AL177" s="219"/>
      <c r="AM177" s="219"/>
      <c r="AN177" s="219"/>
      <c r="AO177" s="219"/>
      <c r="AP177" s="219"/>
      <c r="AQ177" s="221"/>
      <c r="AY177" s="4">
        <v>75150</v>
      </c>
      <c r="AZ177" s="4">
        <v>73270</v>
      </c>
    </row>
    <row r="178" spans="23:52" ht="18.75" hidden="1">
      <c r="W178" s="218"/>
      <c r="X178" s="219"/>
      <c r="Y178" s="219"/>
      <c r="Z178" s="219"/>
      <c r="AA178" s="219"/>
      <c r="AB178" s="219"/>
      <c r="AC178" s="219"/>
      <c r="AD178" s="219"/>
      <c r="AE178" s="219"/>
      <c r="AF178" s="219"/>
      <c r="AG178" s="219"/>
      <c r="AH178" s="219"/>
      <c r="AI178" s="219"/>
      <c r="AJ178" s="221"/>
      <c r="AK178" s="218"/>
      <c r="AL178" s="219"/>
      <c r="AM178" s="219"/>
      <c r="AN178" s="219"/>
      <c r="AO178" s="219"/>
      <c r="AP178" s="219"/>
      <c r="AQ178" s="221"/>
      <c r="AY178" s="4">
        <v>77030</v>
      </c>
      <c r="AZ178" s="4">
        <v>75150</v>
      </c>
    </row>
    <row r="179" spans="23:52" ht="18.75" hidden="1">
      <c r="W179" s="226"/>
      <c r="X179" s="227"/>
      <c r="Y179" s="227"/>
      <c r="Z179" s="227"/>
      <c r="AA179" s="227"/>
      <c r="AB179" s="227"/>
      <c r="AC179" s="227"/>
      <c r="AD179" s="227"/>
      <c r="AE179" s="227"/>
      <c r="AF179" s="227"/>
      <c r="AG179" s="227"/>
      <c r="AH179" s="227"/>
      <c r="AI179" s="227"/>
      <c r="AJ179" s="228"/>
      <c r="AK179" s="226"/>
      <c r="AL179" s="227"/>
      <c r="AM179" s="227"/>
      <c r="AN179" s="227"/>
      <c r="AO179" s="227"/>
      <c r="AP179" s="227"/>
      <c r="AQ179" s="228"/>
      <c r="AY179" s="4">
        <v>78910</v>
      </c>
      <c r="AZ179" s="4">
        <v>77030</v>
      </c>
    </row>
    <row r="180" spans="24:52" ht="18.75" hidden="1">
      <c r="X180" s="207"/>
      <c r="AY180" s="4">
        <v>80930</v>
      </c>
      <c r="AZ180" s="4">
        <v>78910</v>
      </c>
    </row>
    <row r="181" spans="24:52" ht="18.75" hidden="1">
      <c r="X181" s="414" t="s">
        <v>186</v>
      </c>
      <c r="Y181" s="414"/>
      <c r="Z181" s="414"/>
      <c r="AA181" s="414"/>
      <c r="AB181" s="414"/>
      <c r="AC181" s="414"/>
      <c r="AE181" s="439" t="s">
        <v>187</v>
      </c>
      <c r="AF181" s="439"/>
      <c r="AG181" s="439"/>
      <c r="AH181" s="439"/>
      <c r="AI181" s="439"/>
      <c r="AJ181" s="439"/>
      <c r="AY181" s="4">
        <v>82950</v>
      </c>
      <c r="AZ181" s="4">
        <v>80930</v>
      </c>
    </row>
    <row r="182" spans="21:52" ht="18.75" hidden="1">
      <c r="U182" s="176" t="s">
        <v>184</v>
      </c>
      <c r="W182" s="176" t="s">
        <v>190</v>
      </c>
      <c r="X182" s="176" t="s">
        <v>119</v>
      </c>
      <c r="Y182" s="176" t="s">
        <v>109</v>
      </c>
      <c r="Z182" s="176" t="s">
        <v>57</v>
      </c>
      <c r="AA182" s="176" t="s">
        <v>137</v>
      </c>
      <c r="AC182" s="176" t="s">
        <v>185</v>
      </c>
      <c r="AG182" s="176" t="s">
        <v>119</v>
      </c>
      <c r="AH182" s="176" t="s">
        <v>109</v>
      </c>
      <c r="AI182" s="176" t="s">
        <v>57</v>
      </c>
      <c r="AJ182" s="176" t="s">
        <v>189</v>
      </c>
      <c r="AK182" s="176" t="s">
        <v>188</v>
      </c>
      <c r="AY182" s="4">
        <v>84970</v>
      </c>
      <c r="AZ182" s="4">
        <v>82950</v>
      </c>
    </row>
    <row r="183" spans="20:52" ht="18.75" hidden="1">
      <c r="T183" s="192">
        <f>_xlfn.IFERROR(VLOOKUP(V183,salinfo,2,0),"")</f>
        <v>14</v>
      </c>
      <c r="U183" s="191">
        <f>BC52</f>
        <v>14</v>
      </c>
      <c r="V183" s="229" t="str">
        <f>BD52</f>
        <v>Jul-2014</v>
      </c>
      <c r="W183" s="191">
        <f>BF60</f>
        <v>2</v>
      </c>
      <c r="X183" s="176">
        <f>_xlfn.IFERROR(IF($W$183=2,VLOOKUP($V$183,salinfo,4,0),ROUND(VLOOKUP($V$183,salinfo,4,0)/2,0)),"")</f>
        <v>19050</v>
      </c>
      <c r="Y183" s="176">
        <f>_xlfn.IFERROR(IF(W183=2,VLOOKUP($V$183,salinfo,6,0),ROUND(VLOOKUP($V$183,salinfo,6,0)/2,0)),"")</f>
        <v>14839</v>
      </c>
      <c r="Z183" s="176">
        <f>_xlfn.IFERROR(IF(W183=2,VLOOKUP($V$183,salinfo,8,0),ROUND(VLOOKUP($V$183,salinfo,8,0)/2,0)),"")</f>
        <v>3810</v>
      </c>
      <c r="AA183" s="176">
        <f>_xlfn.IFERROR(IF(W183=2,VLOOKUP($V$183,salinfo,9,0),ROUND(VLOOKUP($V$183,salinfo,9,0)/2,0)),"")</f>
        <v>5144</v>
      </c>
      <c r="AC183" s="176">
        <f>_xlfn.IFERROR(SUM(X183:AA183),"")</f>
        <v>42843</v>
      </c>
      <c r="AG183" s="176">
        <f>_xlfn.IFERROR(IF($W$183=2,VLOOKUP($V$183,salinfo,12,0),ROUND(VLOOKUP($V$183,salinfo,12,0)/2,0)),"")</f>
        <v>40270</v>
      </c>
      <c r="AH183" s="176">
        <f>_xlfn.IFERROR(IF($W$183=2,VLOOKUP($V$183,salinfo,14,0),ROUND(VLOOKUP($V$183,salinfo,14,0)/2,0)),"")</f>
        <v>3587</v>
      </c>
      <c r="AI183" s="176">
        <f>_xlfn.IFERROR(IF($W$183=2,VLOOKUP($V$183,salinfo,15,0),ROUND(VLOOKUP($V$183,salinfo,15,0)/2,0)),"")</f>
        <v>8054</v>
      </c>
      <c r="AJ183" s="176">
        <f>SUM(AG183:AI183)</f>
        <v>51911</v>
      </c>
      <c r="AK183" s="176" t="str">
        <f>IF(W183=1,"15Days","1M ")</f>
        <v>1M </v>
      </c>
      <c r="AY183" s="4">
        <v>87130</v>
      </c>
      <c r="AZ183" s="4">
        <v>84970</v>
      </c>
    </row>
    <row r="184" spans="51:52" ht="18.75" hidden="1">
      <c r="AY184" s="4">
        <v>89290</v>
      </c>
      <c r="AZ184" s="4">
        <v>87130</v>
      </c>
    </row>
    <row r="185" spans="51:52" ht="18.75" hidden="1">
      <c r="AY185" s="4">
        <v>91450</v>
      </c>
      <c r="AZ185" s="4">
        <v>89290</v>
      </c>
    </row>
    <row r="186" spans="20:52" ht="18.75" hidden="1">
      <c r="T186" s="192">
        <f>_xlfn.IFERROR(VLOOKUP(V186,salinfo,2,0),"")</f>
      </c>
      <c r="U186" s="189">
        <f>BG65</f>
        <v>1</v>
      </c>
      <c r="V186" s="229" t="str">
        <f>_xlfn.IFERROR(BH65,"")</f>
        <v>Not Availed</v>
      </c>
      <c r="W186" s="189">
        <f>BH60</f>
        <v>2</v>
      </c>
      <c r="X186" s="176">
        <f>_xlfn.IFERROR(IF($W$186=2,VLOOKUP($V$186,salinfo,4,0),ROUND(VLOOKUP($V$186,salinfo,4,0)/2,0)),"")</f>
      </c>
      <c r="Y186" s="176">
        <f>_xlfn.IFERROR(IF(W186=2,VLOOKUP($V$186,salinfo,6,0),ROUND(VLOOKUP($V$186,salinfo,6,0)/2,0)),"")</f>
      </c>
      <c r="Z186" s="176">
        <f>_xlfn.IFERROR(IF(W186=2,VLOOKUP($V$186,salinfo,8,0),ROUND(VLOOKUP($V$186,salinfo,8,0)/2,0)),"")</f>
      </c>
      <c r="AA186" s="176">
        <f>_xlfn.IFERROR(IF(W186=2,VLOOKUP($V$186,salinfo,9,0),ROUND(VLOOKUP($V$186,salinfo,9,0)/2,0)),"")</f>
      </c>
      <c r="AC186" s="176">
        <f>_xlfn.IFERROR(SUM(X186:AA186),"")</f>
        <v>0</v>
      </c>
      <c r="AG186" s="176">
        <f>_xlfn.IFERROR(IF($W$186=2,VLOOKUP($V$186,salinfo,12,0),ROUND(VLOOKUP($V$186,salinfo,12,0)/2,0)),"")</f>
      </c>
      <c r="AH186" s="176">
        <f>_xlfn.IFERROR(IF($W$186=2,VLOOKUP($V$186,salinfo,14,0),ROUND(VLOOKUP($V$186,salinfo,14,0)/2,0)),"")</f>
      </c>
      <c r="AI186" s="176">
        <f>_xlfn.IFERROR(IF($W$186=2,VLOOKUP($V$186,salinfo,15,0),ROUND(VLOOKUP($V$186,salinfo,15,0)/2,0)),"")</f>
      </c>
      <c r="AJ186" s="176">
        <f>SUM(AG186:AI186)</f>
        <v>0</v>
      </c>
      <c r="AK186" s="176" t="str">
        <f>IF(W186=1,"15Days","1M ")</f>
        <v>1M </v>
      </c>
      <c r="AY186" s="4">
        <v>93780</v>
      </c>
      <c r="AZ186" s="4">
        <v>91450</v>
      </c>
    </row>
    <row r="187" spans="51:52" ht="18.75" hidden="1">
      <c r="AY187" s="4">
        <v>96110</v>
      </c>
      <c r="AZ187" s="4">
        <v>93780</v>
      </c>
    </row>
    <row r="188" spans="51:52" ht="18.75" hidden="1">
      <c r="AY188" s="4">
        <v>98440</v>
      </c>
      <c r="AZ188" s="4">
        <v>96110</v>
      </c>
    </row>
    <row r="189" spans="51:52" ht="18.75" hidden="1">
      <c r="AY189" s="4">
        <v>100770</v>
      </c>
      <c r="AZ189" s="4">
        <v>98440</v>
      </c>
    </row>
    <row r="190" spans="51:52" ht="18.75" hidden="1">
      <c r="AY190" s="4">
        <v>103290</v>
      </c>
      <c r="AZ190" s="4">
        <v>100770</v>
      </c>
    </row>
    <row r="191" spans="51:52" ht="18.75" hidden="1">
      <c r="AY191" s="4">
        <v>105810</v>
      </c>
      <c r="AZ191" s="4">
        <v>103290</v>
      </c>
    </row>
    <row r="192" spans="51:52" ht="18.75" hidden="1">
      <c r="AY192" s="6">
        <v>108330</v>
      </c>
      <c r="AZ192" s="4">
        <v>105810</v>
      </c>
    </row>
    <row r="193" spans="51:52" ht="18.75" hidden="1">
      <c r="AY193" s="6">
        <v>110850</v>
      </c>
      <c r="AZ193" s="6">
        <v>108330</v>
      </c>
    </row>
    <row r="194" spans="51:52" ht="18.75" hidden="1">
      <c r="AY194" s="6">
        <v>110850</v>
      </c>
      <c r="AZ194" s="6">
        <v>110850</v>
      </c>
    </row>
    <row r="195" spans="51:52" ht="18.75" hidden="1">
      <c r="AY195" s="6">
        <v>110850</v>
      </c>
      <c r="AZ195" s="6">
        <v>110850</v>
      </c>
    </row>
    <row r="196" spans="51:52" ht="18.75" hidden="1">
      <c r="AY196" s="6">
        <v>110850</v>
      </c>
      <c r="AZ196" s="6">
        <v>110850</v>
      </c>
    </row>
    <row r="197" spans="51:52" ht="18.75" hidden="1">
      <c r="AY197" s="6"/>
      <c r="AZ197" s="6">
        <v>110850</v>
      </c>
    </row>
    <row r="198" ht="18.75" hidden="1"/>
    <row r="199" ht="18.75" hidden="1"/>
    <row r="200" ht="18.75" hidden="1"/>
    <row r="201" ht="18.75" hidden="1"/>
    <row r="202" ht="18.75" hidden="1"/>
    <row r="203" ht="18.75" hidden="1"/>
    <row r="204" ht="18.75" hidden="1"/>
    <row r="205" ht="18.75" hidden="1"/>
    <row r="206" ht="18.75" hidden="1"/>
    <row r="207" ht="18.75" hidden="1"/>
    <row r="208" ht="18.75" hidden="1"/>
    <row r="209" ht="18.75" hidden="1"/>
    <row r="210" ht="18.75" hidden="1"/>
    <row r="211" ht="18.75" hidden="1"/>
    <row r="212" ht="18.75" hidden="1"/>
    <row r="213" ht="18.75" hidden="1"/>
    <row r="214" ht="18.75" hidden="1"/>
    <row r="215" ht="18.75" hidden="1"/>
    <row r="216" ht="18.75" hidden="1"/>
    <row r="217" ht="18.75" hidden="1"/>
    <row r="218" ht="18.75" hidden="1"/>
    <row r="219" ht="18.75" hidden="1"/>
    <row r="220" ht="18.75" hidden="1"/>
    <row r="221" ht="18.75" hidden="1"/>
    <row r="222" ht="18.75" hidden="1"/>
    <row r="223" ht="18.75" hidden="1"/>
    <row r="224" ht="18.75" hidden="1"/>
    <row r="225" ht="18.75" hidden="1"/>
    <row r="226" ht="18.75" hidden="1"/>
    <row r="227" ht="18.75" hidden="1"/>
    <row r="228" ht="18.75" hidden="1"/>
    <row r="229" ht="18.75" hidden="1"/>
    <row r="230" ht="18.75" hidden="1"/>
    <row r="231" ht="18.75" hidden="1"/>
    <row r="232" ht="18.75" hidden="1"/>
    <row r="233" ht="18.75" hidden="1"/>
    <row r="234" ht="18.75" hidden="1"/>
    <row r="235" ht="18.75" hidden="1"/>
    <row r="236" ht="18.75" hidden="1"/>
    <row r="237" ht="18.75" hidden="1"/>
    <row r="238" ht="18.75" hidden="1"/>
    <row r="239" ht="18.75" hidden="1"/>
    <row r="240" ht="18.75" hidden="1"/>
    <row r="241" ht="18.75" hidden="1"/>
    <row r="242" ht="18.75" hidden="1"/>
    <row r="243" ht="18.75" hidden="1"/>
    <row r="244" ht="18.75" hidden="1"/>
    <row r="245" ht="18.75" hidden="1"/>
    <row r="246" ht="18.75" hidden="1"/>
    <row r="247" ht="18.75" hidden="1"/>
    <row r="248" ht="18.75" hidden="1"/>
    <row r="249" ht="18.75" hidden="1"/>
    <row r="250" ht="18.75" hidden="1"/>
    <row r="251" ht="18.75" hidden="1"/>
    <row r="252" ht="18.75" hidden="1"/>
    <row r="253" ht="18.75" hidden="1"/>
    <row r="254" ht="18.75" hidden="1"/>
    <row r="255" ht="18.75" hidden="1"/>
    <row r="256" ht="18.75" hidden="1"/>
    <row r="257" ht="18.75" hidden="1"/>
    <row r="258" ht="18.75" hidden="1"/>
    <row r="259" ht="18.75" hidden="1"/>
    <row r="260" ht="18.75" hidden="1"/>
    <row r="261" ht="18.75" hidden="1"/>
    <row r="262" ht="18.75" hidden="1"/>
    <row r="263" ht="18.75" hidden="1"/>
    <row r="264" ht="18.75" hidden="1"/>
    <row r="265" ht="18.75" hidden="1"/>
    <row r="266" ht="18.75" hidden="1"/>
    <row r="267" ht="18.75" hidden="1"/>
    <row r="268" ht="18.75" hidden="1"/>
    <row r="269" ht="18.75" hidden="1"/>
    <row r="270" ht="18.75" hidden="1"/>
    <row r="271" ht="18.75" hidden="1"/>
    <row r="272" ht="18.75" hidden="1"/>
    <row r="273" ht="18.75" hidden="1"/>
    <row r="274" ht="18.75" hidden="1"/>
    <row r="275" ht="18.75" hidden="1"/>
    <row r="276" ht="18.75" hidden="1"/>
    <row r="277" ht="18.75" hidden="1"/>
    <row r="278" ht="18.75" hidden="1"/>
    <row r="279" ht="18.75" hidden="1"/>
    <row r="280" ht="18.75" hidden="1"/>
    <row r="281" ht="18.75" hidden="1"/>
    <row r="282" ht="18.75" hidden="1"/>
    <row r="283" ht="18.75" hidden="1"/>
    <row r="284" ht="18.75" hidden="1"/>
    <row r="285" ht="18.75" hidden="1"/>
    <row r="286" ht="18.75" hidden="1"/>
    <row r="287" ht="18.75" hidden="1"/>
    <row r="288" ht="18.75" hidden="1"/>
    <row r="289" ht="18.75" hidden="1"/>
    <row r="290" ht="18.75" hidden="1"/>
    <row r="291" ht="18.75" hidden="1"/>
    <row r="292" ht="18.75" hidden="1"/>
    <row r="293" ht="18.75" hidden="1"/>
    <row r="294" ht="18.75" hidden="1"/>
    <row r="295" ht="18.75" hidden="1"/>
    <row r="296" ht="18.75" hidden="1"/>
    <row r="297" ht="18.75" hidden="1"/>
    <row r="298" ht="18.75" hidden="1"/>
    <row r="299" ht="18.75" hidden="1"/>
    <row r="300" ht="18.75" hidden="1"/>
    <row r="301" ht="19.5" thickTop="1"/>
    <row r="302" ht="18.75"/>
  </sheetData>
  <sheetProtection password="DE3D" sheet="1" selectLockedCells="1"/>
  <mergeCells count="67">
    <mergeCell ref="O24:R24"/>
    <mergeCell ref="D8:F8"/>
    <mergeCell ref="I17:J17"/>
    <mergeCell ref="G8:H8"/>
    <mergeCell ref="D12:E12"/>
    <mergeCell ref="H12:J12"/>
    <mergeCell ref="D13:F13"/>
    <mergeCell ref="I13:J13"/>
    <mergeCell ref="I16:J16"/>
    <mergeCell ref="I15:J15"/>
    <mergeCell ref="BY49:CB49"/>
    <mergeCell ref="D6:F6"/>
    <mergeCell ref="G6:J6"/>
    <mergeCell ref="O6:Q6"/>
    <mergeCell ref="K6:N6"/>
    <mergeCell ref="T10:W13"/>
    <mergeCell ref="T14:W14"/>
    <mergeCell ref="P7:R7"/>
    <mergeCell ref="H11:J11"/>
    <mergeCell ref="BO49:BR49"/>
    <mergeCell ref="O22:R22"/>
    <mergeCell ref="F21:H21"/>
    <mergeCell ref="J22:L22"/>
    <mergeCell ref="D14:F14"/>
    <mergeCell ref="H22:I22"/>
    <mergeCell ref="K14:R19"/>
    <mergeCell ref="D15:E15"/>
    <mergeCell ref="T9:W9"/>
    <mergeCell ref="J8:R8"/>
    <mergeCell ref="G14:J14"/>
    <mergeCell ref="D9:R9"/>
    <mergeCell ref="L7:N7"/>
    <mergeCell ref="D5:R5"/>
    <mergeCell ref="P11:R11"/>
    <mergeCell ref="L13:P13"/>
    <mergeCell ref="G7:J7"/>
    <mergeCell ref="D7:F7"/>
    <mergeCell ref="AU52:AW52"/>
    <mergeCell ref="I18:J18"/>
    <mergeCell ref="I19:J19"/>
    <mergeCell ref="L21:N21"/>
    <mergeCell ref="O21:R21"/>
    <mergeCell ref="W18:W50"/>
    <mergeCell ref="T25:V50"/>
    <mergeCell ref="D20:R20"/>
    <mergeCell ref="G23:K23"/>
    <mergeCell ref="L23:N23"/>
    <mergeCell ref="AE181:AJ181"/>
    <mergeCell ref="Z110:AA110"/>
    <mergeCell ref="Z103:AA103"/>
    <mergeCell ref="AB103:AC103"/>
    <mergeCell ref="D21:E21"/>
    <mergeCell ref="I21:J21"/>
    <mergeCell ref="D22:E22"/>
    <mergeCell ref="M22:N22"/>
    <mergeCell ref="D23:F23"/>
    <mergeCell ref="F22:G22"/>
    <mergeCell ref="X181:AC181"/>
    <mergeCell ref="O23:Q23"/>
    <mergeCell ref="C26:S50"/>
    <mergeCell ref="T2:W2"/>
    <mergeCell ref="C2:S2"/>
    <mergeCell ref="D3:R3"/>
    <mergeCell ref="S3:S5"/>
    <mergeCell ref="C3:C5"/>
    <mergeCell ref="T3:W3"/>
    <mergeCell ref="T4:W6"/>
  </mergeCells>
  <dataValidations count="1">
    <dataValidation allowBlank="1" showInputMessage="1" showErrorMessage="1" promptTitle="U got promotion ?" prompt="Select this option, if you got promotion  July-2013" sqref="O6"/>
  </dataValidations>
  <hyperlinks>
    <hyperlink ref="L23" r:id="rId1" display="www.tabadi.com"/>
  </hyperlinks>
  <printOptions/>
  <pageMargins left="0.7" right="0.7" top="0.75" bottom="0.75" header="0.3" footer="0.3"/>
  <pageSetup horizontalDpi="600" verticalDpi="600" orientation="portrait" r:id="rId5"/>
  <drawing r:id="rId4"/>
  <legacyDrawing r:id="rId3"/>
</worksheet>
</file>

<file path=xl/worksheets/sheet10.xml><?xml version="1.0" encoding="utf-8"?>
<worksheet xmlns="http://schemas.openxmlformats.org/spreadsheetml/2006/main" xmlns:r="http://schemas.openxmlformats.org/officeDocument/2006/relationships">
  <sheetPr codeName="Sheet11">
    <pageSetUpPr fitToPage="1"/>
  </sheetPr>
  <dimension ref="A1:J13"/>
  <sheetViews>
    <sheetView showGridLines="0" showRowColHeaders="0" zoomScalePageLayoutView="0" workbookViewId="0" topLeftCell="A1">
      <selection activeCell="K15" sqref="K15"/>
    </sheetView>
  </sheetViews>
  <sheetFormatPr defaultColWidth="9.140625" defaultRowHeight="15"/>
  <cols>
    <col min="1" max="1" width="5.57421875" style="0" customWidth="1"/>
    <col min="2" max="2" width="9.57421875" style="0" customWidth="1"/>
    <col min="3" max="3" width="25.140625" style="0" customWidth="1"/>
    <col min="4" max="4" width="13.00390625" style="0" customWidth="1"/>
    <col min="5" max="5" width="8.8515625" style="0" customWidth="1"/>
    <col min="6" max="6" width="6.8515625" style="0" customWidth="1"/>
    <col min="7" max="7" width="6.7109375" style="0" customWidth="1"/>
    <col min="8" max="8" width="7.00390625" style="0" hidden="1" customWidth="1"/>
    <col min="9" max="9" width="8.57421875" style="0" customWidth="1"/>
  </cols>
  <sheetData>
    <row r="1" spans="1:10" ht="31.5">
      <c r="A1" s="804" t="str">
        <f>IF(Data!$Z$111=1," ZPPF ",IF(Data!$Z$111=2," GPF "," CPS "))&amp;"RECOVERY SCHEDULE "</f>
        <v> CPS RECOVERY SCHEDULE </v>
      </c>
      <c r="B1" s="804"/>
      <c r="C1" s="804"/>
      <c r="D1" s="804"/>
      <c r="E1" s="804"/>
      <c r="F1" s="804"/>
      <c r="G1" s="804"/>
      <c r="H1" s="804"/>
      <c r="I1" s="804"/>
      <c r="J1" s="268"/>
    </row>
    <row r="2" spans="1:9" ht="36" customHeight="1">
      <c r="A2" s="801" t="str">
        <f>"Schedule showing the recovery of "&amp;IF(Data!$Z$111=1," ZPPF ",IF(Data!$Z$111=2," GPF "," CPS "))&amp;", Pay Fixation Arrears, 2015 "&amp;Data!U53&amp;", "&amp;Data!L7&amp;" Mandal"&amp;", "&amp;Data!P7&amp;" District"</f>
        <v>Schedule showing the recovery of  CPS , Pay Fixation Arrears, 2015 Z P High School, M.D Mangalam, G D Nellore Mandal, Karimnagar District</v>
      </c>
      <c r="B2" s="801"/>
      <c r="C2" s="801"/>
      <c r="D2" s="801"/>
      <c r="E2" s="801"/>
      <c r="F2" s="801"/>
      <c r="G2" s="801"/>
      <c r="H2" s="801"/>
      <c r="I2" s="801"/>
    </row>
    <row r="3" spans="1:10" ht="36" customHeight="1">
      <c r="A3" s="802" t="str">
        <f>IF(Data!$Z$111=1,"HEAD OF ACCOUNT:  8338 - Deposits of Local Funds , M.H.104 - Deposits of other autonomousBodies SH(01) Deposits of Zilla Parishad out of Provident Fund Contributions of Panchayati Raj Employees Head of Account.   ",IF(Data!$Z$111=3,"Head of Account:1 Small savings Provident Fund-C other Accounts,8342-Insurance and pention funds,MH117-Other Insurance and Pention Funds.SH(04)A.P.State Government Employee Contribtion Pension Scheme(to be opened),001-Emplyees Contribution."&amp;" (GO.Ms.NO:655,Finance(Pention.I)Dept,DT:22/92004)",""))</f>
        <v>Head of Account:1 Small savings Provident Fund-C other Accounts,8342-Insurance and pention funds,MH117-Other Insurance and Pention Funds.SH(04)A.P.State Government Employee Contribtion Pension Scheme(to be opened),001-Emplyees Contribution. (GO.Ms.NO:655,Finance(Pention.I)Dept,DT:22/92004)</v>
      </c>
      <c r="B3" s="802"/>
      <c r="C3" s="802"/>
      <c r="D3" s="802"/>
      <c r="E3" s="802"/>
      <c r="F3" s="802"/>
      <c r="G3" s="802"/>
      <c r="H3" s="802"/>
      <c r="I3" s="802"/>
      <c r="J3" s="269"/>
    </row>
    <row r="4" spans="1:10" ht="36" customHeight="1">
      <c r="A4" s="803" t="str">
        <f>"Name of office : "&amp;Data!U53&amp;", "&amp;Data!L7&amp;" Mandal"&amp;", "&amp;Data!P7&amp;" District"</f>
        <v>Name of office : Z P High School, M.D Mangalam, G D Nellore Mandal, Karimnagar District</v>
      </c>
      <c r="B4" s="803"/>
      <c r="C4" s="803"/>
      <c r="D4" s="803"/>
      <c r="E4" s="803"/>
      <c r="F4" s="803"/>
      <c r="G4" s="803"/>
      <c r="H4" s="803"/>
      <c r="I4" s="803"/>
      <c r="J4" s="270"/>
    </row>
    <row r="5" spans="1:9" ht="60.75" customHeight="1">
      <c r="A5" s="271" t="s">
        <v>670</v>
      </c>
      <c r="B5" s="271" t="s">
        <v>671</v>
      </c>
      <c r="C5" s="271" t="s">
        <v>216</v>
      </c>
      <c r="D5" s="271" t="str">
        <f>IF(Data!$Z$111=1," ZPPF ",IF(Data!$Z$111=2," GPF "," CPS "))&amp;" A/c No "</f>
        <v> CPS  A/c No </v>
      </c>
      <c r="E5" s="271" t="str">
        <f>IF(Data!$Z$111=1," ZPPF Subscription ",IF(Data!$Z$111=2," GPF ","  PAY "))</f>
        <v>  PAY </v>
      </c>
      <c r="F5" s="271" t="str">
        <f>IF(Data!$Z$111=3," DA ","  ")</f>
        <v> DA </v>
      </c>
      <c r="G5" s="272" t="str">
        <f>IF(Data!$Z$111=3," Total ","  ")</f>
        <v> Total </v>
      </c>
      <c r="H5" s="271"/>
      <c r="I5" s="271" t="s">
        <v>672</v>
      </c>
    </row>
    <row r="6" spans="1:9" ht="126.75" customHeight="1">
      <c r="A6" s="333">
        <v>1</v>
      </c>
      <c r="B6" s="333">
        <f>Data!G8</f>
        <v>1105438</v>
      </c>
      <c r="C6" s="335" t="str">
        <f>Data!G6&amp;CHAR(10)&amp;IF(Data!AG57&lt;&gt;15,Data!AH57,Data!AB53)&amp;CHAR(10)&amp;Data!U53&amp;CHAR(10)&amp;Data!L7&amp;" Mandal, "&amp;CHAR(10)&amp;Data!P7&amp;" District"</f>
        <v>Sri S Nithin
SA(Hin)
Z P High School, M.D Mangalam
G D Nellore Mandal, 
Karimnagar District</v>
      </c>
      <c r="D6" s="334">
        <f>Data!P11</f>
        <v>254030</v>
      </c>
      <c r="E6" s="333">
        <f>IF(Data!$Z$111=3,Salary!C47-Salary!O47,Salary!AO48)</f>
        <v>43600</v>
      </c>
      <c r="F6" s="333">
        <f>IF(Data!$Z$111=3,Salary!G47-Salary!S47,"")</f>
        <v>-23132</v>
      </c>
      <c r="G6" s="333">
        <f>IF(Data!$Z$111=3,E6+F6,"")</f>
        <v>20468</v>
      </c>
      <c r="H6" s="333"/>
      <c r="I6" s="334">
        <f>Salary!AO47</f>
        <v>2048</v>
      </c>
    </row>
    <row r="7" spans="1:9" ht="25.5" customHeight="1">
      <c r="A7" s="7"/>
      <c r="B7" s="7"/>
      <c r="C7" s="273"/>
      <c r="D7" s="272"/>
      <c r="E7" s="7"/>
      <c r="F7" s="7"/>
      <c r="G7" s="7"/>
      <c r="H7" s="7"/>
      <c r="I7" s="272">
        <f>I6</f>
        <v>2048</v>
      </c>
    </row>
    <row r="8" spans="1:9" ht="32.25" customHeight="1">
      <c r="A8" s="805" t="str">
        <f>"                      "&amp;"Certified that "&amp;IF(Data!$Z$111=1," ZPPF ",IF(Data!$Z$111=2," GPF "," CPS "))&amp;" number entered here with reference to the  office register"</f>
        <v>                      Certified that  CPS  number entered here with reference to the  office register</v>
      </c>
      <c r="B8" s="805"/>
      <c r="C8" s="805"/>
      <c r="D8" s="805"/>
      <c r="E8" s="805"/>
      <c r="F8" s="805"/>
      <c r="G8" s="805"/>
      <c r="H8" s="805"/>
      <c r="I8" s="805"/>
    </row>
    <row r="9" spans="1:9" ht="15">
      <c r="A9" s="792" t="str">
        <f>"Rs "&amp;"("&amp;I6&amp;"/-)"&amp;words!O7&amp;" Only"</f>
        <v>Rs (2048/-)Two Thousand Forty eight Rupees Only</v>
      </c>
      <c r="B9" s="792"/>
      <c r="C9" s="792"/>
      <c r="D9" s="792"/>
      <c r="E9" s="792"/>
      <c r="F9" s="792"/>
      <c r="G9" s="792"/>
      <c r="H9" s="792"/>
      <c r="I9" s="792"/>
    </row>
    <row r="12" spans="7:10" ht="15">
      <c r="G12" s="9"/>
      <c r="H12" s="9"/>
      <c r="I12" s="9"/>
      <c r="J12" s="9"/>
    </row>
    <row r="13" ht="15">
      <c r="F13" s="9" t="s">
        <v>411</v>
      </c>
    </row>
  </sheetData>
  <sheetProtection password="DE3D" sheet="1"/>
  <mergeCells count="6">
    <mergeCell ref="A2:I2"/>
    <mergeCell ref="A3:I3"/>
    <mergeCell ref="A4:I4"/>
    <mergeCell ref="A1:I1"/>
    <mergeCell ref="A8:I8"/>
    <mergeCell ref="A9:I9"/>
  </mergeCells>
  <printOptions/>
  <pageMargins left="0.7" right="0.7" top="0.75" bottom="0.75" header="0.3" footer="0.3"/>
  <pageSetup fitToHeight="0"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N17"/>
  <sheetViews>
    <sheetView showGridLines="0" showRowColHeaders="0" zoomScalePageLayoutView="0" workbookViewId="0" topLeftCell="A1">
      <selection activeCell="H18" sqref="H18"/>
    </sheetView>
  </sheetViews>
  <sheetFormatPr defaultColWidth="9.140625" defaultRowHeight="15"/>
  <cols>
    <col min="1" max="1" width="5.28125" style="0" customWidth="1"/>
    <col min="2" max="2" width="21.140625" style="0" customWidth="1"/>
    <col min="3" max="3" width="11.7109375" style="0" customWidth="1"/>
    <col min="4" max="4" width="9.421875" style="0" customWidth="1"/>
    <col min="5" max="5" width="12.00390625" style="0" customWidth="1"/>
    <col min="6" max="6" width="9.7109375" style="0" customWidth="1"/>
    <col min="7" max="7" width="10.00390625" style="0" customWidth="1"/>
    <col min="8" max="9" width="11.140625" style="0" customWidth="1"/>
    <col min="10" max="10" width="11.28125" style="0" customWidth="1"/>
    <col min="11" max="11" width="12.7109375" style="0" customWidth="1"/>
    <col min="12" max="12" width="10.00390625" style="0" customWidth="1"/>
    <col min="13" max="13" width="8.140625" style="0" bestFit="1" customWidth="1"/>
    <col min="14" max="14" width="11.28125" style="0" bestFit="1" customWidth="1"/>
  </cols>
  <sheetData>
    <row r="1" spans="1:14" ht="23.25">
      <c r="A1" s="820" t="s">
        <v>673</v>
      </c>
      <c r="B1" s="820"/>
      <c r="C1" s="820"/>
      <c r="D1" s="820"/>
      <c r="E1" s="820"/>
      <c r="F1" s="820"/>
      <c r="G1" s="820"/>
      <c r="H1" s="820"/>
      <c r="I1" s="820"/>
      <c r="J1" s="820"/>
      <c r="K1" s="820"/>
      <c r="L1" s="820"/>
      <c r="M1" s="820"/>
      <c r="N1" s="820"/>
    </row>
    <row r="2" spans="1:14" ht="11.25" customHeight="1">
      <c r="A2" s="821" t="s">
        <v>674</v>
      </c>
      <c r="B2" s="821"/>
      <c r="C2" s="821"/>
      <c r="D2" s="821"/>
      <c r="E2" s="821"/>
      <c r="F2" s="821"/>
      <c r="G2" s="821"/>
      <c r="H2" s="821"/>
      <c r="I2" s="821"/>
      <c r="J2" s="821"/>
      <c r="K2" s="821"/>
      <c r="L2" s="821"/>
      <c r="M2" s="821"/>
      <c r="N2" s="821"/>
    </row>
    <row r="3" spans="1:14" ht="18.75">
      <c r="A3" s="822" t="s">
        <v>675</v>
      </c>
      <c r="B3" s="822"/>
      <c r="C3" s="822"/>
      <c r="D3" s="822"/>
      <c r="E3" s="822"/>
      <c r="F3" s="822"/>
      <c r="G3" s="822"/>
      <c r="H3" s="822"/>
      <c r="I3" s="822"/>
      <c r="J3" s="822"/>
      <c r="K3" s="822"/>
      <c r="L3" s="822"/>
      <c r="M3" s="822"/>
      <c r="N3" s="822"/>
    </row>
    <row r="4" spans="1:14" ht="15">
      <c r="A4" s="769" t="s">
        <v>193</v>
      </c>
      <c r="B4" s="769"/>
      <c r="C4" s="769"/>
      <c r="D4" s="769"/>
      <c r="E4" s="769"/>
      <c r="F4" s="769"/>
      <c r="G4" s="769"/>
      <c r="H4" s="769"/>
      <c r="I4" s="769"/>
      <c r="J4" s="769"/>
      <c r="K4" s="769"/>
      <c r="L4" s="769"/>
      <c r="M4" s="769"/>
      <c r="N4" s="769"/>
    </row>
    <row r="5" spans="1:14" ht="79.5" customHeight="1">
      <c r="A5" s="823" t="s">
        <v>729</v>
      </c>
      <c r="B5" s="824"/>
      <c r="C5" s="824"/>
      <c r="D5" s="824"/>
      <c r="E5" s="824"/>
      <c r="F5" s="824"/>
      <c r="G5" s="824"/>
      <c r="H5" s="824"/>
      <c r="I5" s="824"/>
      <c r="J5" s="824"/>
      <c r="K5" s="824"/>
      <c r="L5" s="824"/>
      <c r="M5" s="824"/>
      <c r="N5" s="825"/>
    </row>
    <row r="6" spans="1:14" ht="117" customHeight="1">
      <c r="A6" s="826" t="s">
        <v>676</v>
      </c>
      <c r="B6" s="828" t="s">
        <v>677</v>
      </c>
      <c r="C6" s="806" t="s">
        <v>678</v>
      </c>
      <c r="D6" s="806" t="s">
        <v>679</v>
      </c>
      <c r="E6" s="806" t="s">
        <v>680</v>
      </c>
      <c r="F6" s="806" t="s">
        <v>681</v>
      </c>
      <c r="G6" s="806"/>
      <c r="H6" s="807" t="s">
        <v>682</v>
      </c>
      <c r="I6" s="807"/>
      <c r="J6" s="274" t="s">
        <v>683</v>
      </c>
      <c r="K6" s="274" t="s">
        <v>684</v>
      </c>
      <c r="L6" s="274" t="s">
        <v>685</v>
      </c>
      <c r="M6" s="274" t="s">
        <v>686</v>
      </c>
      <c r="N6" s="274" t="s">
        <v>687</v>
      </c>
    </row>
    <row r="7" spans="1:14" ht="15">
      <c r="A7" s="827"/>
      <c r="B7" s="827"/>
      <c r="C7" s="829"/>
      <c r="D7" s="829"/>
      <c r="E7" s="829"/>
      <c r="F7" s="276" t="s">
        <v>688</v>
      </c>
      <c r="G7" s="276" t="s">
        <v>689</v>
      </c>
      <c r="H7" s="276" t="s">
        <v>688</v>
      </c>
      <c r="I7" s="276" t="s">
        <v>689</v>
      </c>
      <c r="J7" s="276"/>
      <c r="K7" s="276"/>
      <c r="L7" s="276"/>
      <c r="M7" s="276"/>
      <c r="N7" s="276"/>
    </row>
    <row r="8" spans="1:14" ht="25.5" customHeight="1">
      <c r="A8" s="811">
        <v>1</v>
      </c>
      <c r="B8" s="808" t="str">
        <f>'PF-CPS'!C6&amp;" Emp Treasury ID : "&amp;Data!G8</f>
        <v>Sri S Nithin
SA(Hin)
Z P High School, M.D Mangalam
G D Nellore Mandal, 
Karimnagar District Emp Treasury ID : 1105438</v>
      </c>
      <c r="C8" s="814" t="str">
        <f>IF(Data!AG57&lt;&gt;15,Data!AH57,Data!AB53)</f>
        <v>SA(Hin)</v>
      </c>
      <c r="D8" s="817" t="s">
        <v>690</v>
      </c>
      <c r="E8" s="336" t="str">
        <f>procgs!AC30</f>
        <v>1-Nov-2012</v>
      </c>
      <c r="F8" s="337"/>
      <c r="G8" s="338"/>
      <c r="H8" s="338"/>
      <c r="I8" s="338"/>
      <c r="J8" s="337" t="str">
        <f>procgs!N31</f>
        <v>1-Nov-2013</v>
      </c>
      <c r="K8" s="339" t="str">
        <f>procgs!J31</f>
        <v>28940-78910</v>
      </c>
      <c r="L8" s="338">
        <f>VLOOKUP(N8,Data!$AY$134:$AZ$196,2,0)</f>
        <v>39160</v>
      </c>
      <c r="M8" s="340">
        <f>N8-L8</f>
        <v>1110</v>
      </c>
      <c r="N8" s="341">
        <f>procgs!Q31</f>
        <v>40270</v>
      </c>
    </row>
    <row r="9" spans="1:14" ht="25.5" customHeight="1">
      <c r="A9" s="812"/>
      <c r="B9" s="809"/>
      <c r="C9" s="815"/>
      <c r="D9" s="818"/>
      <c r="E9" s="342" t="str">
        <f>procgs!AC31</f>
        <v>1-Nov-2013</v>
      </c>
      <c r="F9" s="261"/>
      <c r="G9" s="261"/>
      <c r="H9" s="261"/>
      <c r="I9" s="261"/>
      <c r="J9" s="343" t="str">
        <f>procgs!N32</f>
        <v>1-Nov-2014</v>
      </c>
      <c r="K9" s="344" t="str">
        <f>procgs!J32</f>
        <v>28940-78910</v>
      </c>
      <c r="L9" s="261">
        <f>VLOOKUP(N9,Data!$AY$134:$AZ$196,2,0)</f>
        <v>40270</v>
      </c>
      <c r="M9" s="345">
        <f>N9-L9</f>
        <v>1110</v>
      </c>
      <c r="N9" s="346">
        <f>procgs!Q32</f>
        <v>41380</v>
      </c>
    </row>
    <row r="10" spans="1:14" ht="25.5" customHeight="1">
      <c r="A10" s="812"/>
      <c r="B10" s="809"/>
      <c r="C10" s="815"/>
      <c r="D10" s="818"/>
      <c r="E10" s="342">
        <f>procgs!AC32</f>
      </c>
      <c r="F10" s="261"/>
      <c r="G10" s="261"/>
      <c r="H10" s="261"/>
      <c r="I10" s="261"/>
      <c r="J10" s="343">
        <f>procgs!N33</f>
      </c>
      <c r="K10" s="344">
        <f>procgs!J33</f>
      </c>
      <c r="L10" s="261">
        <f>IF(N10="","",VLOOKUP(N10,Data!$AY$134:$AZ$196,2,0))</f>
      </c>
      <c r="M10" s="345">
        <f>IF(N10="","",N10-L10)</f>
      </c>
      <c r="N10" s="346">
        <f>procgs!Q33</f>
      </c>
    </row>
    <row r="11" spans="1:14" ht="25.5" customHeight="1">
      <c r="A11" s="812"/>
      <c r="B11" s="809"/>
      <c r="C11" s="815"/>
      <c r="D11" s="818"/>
      <c r="E11" s="342">
        <f>procgs!AC33</f>
      </c>
      <c r="F11" s="261"/>
      <c r="G11" s="261"/>
      <c r="H11" s="261"/>
      <c r="I11" s="261"/>
      <c r="J11" s="343">
        <f>procgs!N34</f>
      </c>
      <c r="K11" s="344">
        <f>procgs!J34</f>
      </c>
      <c r="L11" s="261">
        <f>IF(N11="","",VLOOKUP(N11,Data!$AY$134:$AZ$196,2,0))</f>
      </c>
      <c r="M11" s="345">
        <f>IF(N11="","",N11-L11)</f>
      </c>
      <c r="N11" s="346">
        <f>procgs!Q34</f>
      </c>
    </row>
    <row r="12" spans="1:14" ht="25.5" customHeight="1">
      <c r="A12" s="813"/>
      <c r="B12" s="810"/>
      <c r="C12" s="816"/>
      <c r="D12" s="819"/>
      <c r="E12" s="347"/>
      <c r="F12" s="265"/>
      <c r="G12" s="265"/>
      <c r="H12" s="265"/>
      <c r="I12" s="265"/>
      <c r="J12" s="348"/>
      <c r="K12" s="265"/>
      <c r="L12" s="265"/>
      <c r="M12" s="349"/>
      <c r="N12" s="350"/>
    </row>
    <row r="13" spans="1:14" ht="15">
      <c r="A13" s="230"/>
      <c r="B13" s="230"/>
      <c r="C13" s="230"/>
      <c r="D13" s="230"/>
      <c r="E13" s="230"/>
      <c r="F13" s="230"/>
      <c r="G13" s="230"/>
      <c r="H13" s="230"/>
      <c r="I13" s="230"/>
      <c r="J13" s="230"/>
      <c r="K13" s="230"/>
      <c r="L13" s="230"/>
      <c r="M13" s="230"/>
      <c r="N13" s="230"/>
    </row>
    <row r="14" spans="1:14" ht="15">
      <c r="A14" s="230"/>
      <c r="B14" s="230"/>
      <c r="C14" s="230"/>
      <c r="D14" s="230"/>
      <c r="E14" s="230"/>
      <c r="F14" s="230"/>
      <c r="G14" s="230"/>
      <c r="H14" s="230"/>
      <c r="I14" s="230"/>
      <c r="J14" s="230"/>
      <c r="K14" s="230"/>
      <c r="L14" s="230"/>
      <c r="M14" s="230"/>
      <c r="N14" s="230"/>
    </row>
    <row r="15" spans="1:14" ht="15">
      <c r="A15" s="230"/>
      <c r="B15" s="230"/>
      <c r="C15" s="230"/>
      <c r="D15" s="230"/>
      <c r="E15" s="230"/>
      <c r="F15" s="230"/>
      <c r="G15" s="230"/>
      <c r="H15" s="230"/>
      <c r="I15" s="230"/>
      <c r="J15" s="230"/>
      <c r="K15" s="230"/>
      <c r="L15" s="230"/>
      <c r="M15" s="230"/>
      <c r="N15" s="230"/>
    </row>
    <row r="16" spans="1:14" ht="15">
      <c r="A16" s="230"/>
      <c r="B16" s="230"/>
      <c r="C16" s="230"/>
      <c r="D16" s="230"/>
      <c r="E16" s="230"/>
      <c r="F16" s="230"/>
      <c r="G16" s="230"/>
      <c r="H16" s="230"/>
      <c r="I16" s="230"/>
      <c r="J16" s="230"/>
      <c r="K16" s="230" t="s">
        <v>411</v>
      </c>
      <c r="L16" s="230"/>
      <c r="M16" s="230"/>
      <c r="N16" s="230"/>
    </row>
    <row r="17" spans="1:14" ht="15">
      <c r="A17" s="275" t="s">
        <v>704</v>
      </c>
      <c r="B17" s="230"/>
      <c r="C17" s="230"/>
      <c r="D17" s="230"/>
      <c r="E17" s="230"/>
      <c r="F17" s="230"/>
      <c r="G17" s="230"/>
      <c r="H17" s="230"/>
      <c r="I17" s="230"/>
      <c r="J17" s="230"/>
      <c r="K17" s="230"/>
      <c r="L17" s="230"/>
      <c r="M17" s="230"/>
      <c r="N17" s="230"/>
    </row>
  </sheetData>
  <sheetProtection password="DE3D" sheet="1"/>
  <mergeCells count="16">
    <mergeCell ref="A1:N1"/>
    <mergeCell ref="A2:N2"/>
    <mergeCell ref="A3:N3"/>
    <mergeCell ref="A4:N4"/>
    <mergeCell ref="A5:N5"/>
    <mergeCell ref="A6:A7"/>
    <mergeCell ref="B6:B7"/>
    <mergeCell ref="C6:C7"/>
    <mergeCell ref="D6:D7"/>
    <mergeCell ref="E6:E7"/>
    <mergeCell ref="F6:G6"/>
    <mergeCell ref="H6:I6"/>
    <mergeCell ref="B8:B12"/>
    <mergeCell ref="A8:A12"/>
    <mergeCell ref="C8:C12"/>
    <mergeCell ref="D8:D12"/>
  </mergeCells>
  <printOptions/>
  <pageMargins left="0.7" right="0.7" top="0.75" bottom="0.75" header="0.3" footer="0.3"/>
  <pageSetup fitToHeight="0" fitToWidth="1" horizontalDpi="600" verticalDpi="600" orientation="landscape" paperSize="9" scale="84" r:id="rId2"/>
  <drawing r:id="rId1"/>
</worksheet>
</file>

<file path=xl/worksheets/sheet12.xml><?xml version="1.0" encoding="utf-8"?>
<worksheet xmlns="http://schemas.openxmlformats.org/spreadsheetml/2006/main" xmlns:r="http://schemas.openxmlformats.org/officeDocument/2006/relationships">
  <sheetPr codeName="Sheet9"/>
  <dimension ref="A2:O104"/>
  <sheetViews>
    <sheetView zoomScalePageLayoutView="0" workbookViewId="0" topLeftCell="A1">
      <selection activeCell="D8" sqref="D8"/>
    </sheetView>
  </sheetViews>
  <sheetFormatPr defaultColWidth="9.140625" defaultRowHeight="15"/>
  <cols>
    <col min="1" max="1" width="5.00390625" style="0" customWidth="1"/>
    <col min="5" max="9" width="4.57421875" style="0" customWidth="1"/>
    <col min="10" max="10" width="8.421875" style="0" bestFit="1" customWidth="1"/>
    <col min="11" max="11" width="11.421875" style="0" bestFit="1" customWidth="1"/>
    <col min="12" max="12" width="11.00390625" style="0" customWidth="1"/>
    <col min="13" max="13" width="11.7109375" style="0" bestFit="1" customWidth="1"/>
  </cols>
  <sheetData>
    <row r="2" spans="1:2" ht="15">
      <c r="A2">
        <v>1</v>
      </c>
      <c r="B2" s="153" t="s">
        <v>448</v>
      </c>
    </row>
    <row r="3" spans="1:2" ht="15">
      <c r="A3">
        <v>2</v>
      </c>
      <c r="B3" s="154" t="s">
        <v>449</v>
      </c>
    </row>
    <row r="4" spans="1:15" ht="15">
      <c r="A4">
        <v>3</v>
      </c>
      <c r="B4" s="154" t="s">
        <v>450</v>
      </c>
      <c r="D4" s="158">
        <f>FORM47!H42</f>
        <v>87385</v>
      </c>
      <c r="E4">
        <f>INT(D4/100000)</f>
        <v>0</v>
      </c>
      <c r="F4">
        <f>INT(D4/1000-E4*100)</f>
        <v>87</v>
      </c>
      <c r="G4">
        <f>INT(D4/100-E4*1000-F4*10)</f>
        <v>3</v>
      </c>
      <c r="H4">
        <f>INT(D4-E4*100000-F4*1000-G4*100)</f>
        <v>85</v>
      </c>
      <c r="J4">
        <f aca="true" t="shared" si="0" ref="J4:J10">IF(E4=0,"",VLOOKUP(E4,words,2,0)&amp;" Lakh ")</f>
      </c>
      <c r="K4" t="str">
        <f aca="true" t="shared" si="1" ref="K4:K10">IF(F4=0,"",VLOOKUP(F4,words,2,0)&amp;" Thousand ")</f>
        <v>Eighty seven Thousand </v>
      </c>
      <c r="L4" t="str">
        <f aca="true" t="shared" si="2" ref="L4:L10">IF(G4=0,"",VLOOKUP(G4,words,2,0)&amp;" Hundred ")</f>
        <v>Three Hundred </v>
      </c>
      <c r="M4" t="str">
        <f aca="true" t="shared" si="3" ref="M4:M10">IF(H4=0," Zero Only ",VLOOKUP(H4,words,2,0)&amp;" Rupees")</f>
        <v>Eighty five Rupees</v>
      </c>
      <c r="O4" t="str">
        <f>J4&amp;K4&amp;L4&amp;M4</f>
        <v>Eighty seven Thousand Three Hundred Eighty five Rupees</v>
      </c>
    </row>
    <row r="5" spans="1:15" ht="15">
      <c r="A5">
        <v>4</v>
      </c>
      <c r="B5" s="154" t="s">
        <v>451</v>
      </c>
      <c r="D5" s="158">
        <f>D4+1</f>
        <v>87386</v>
      </c>
      <c r="E5">
        <f aca="true" t="shared" si="4" ref="E5:E10">INT(D5/100000)</f>
        <v>0</v>
      </c>
      <c r="F5">
        <f aca="true" t="shared" si="5" ref="F5:F10">INT(D5/1000-E5*100)</f>
        <v>87</v>
      </c>
      <c r="G5">
        <f aca="true" t="shared" si="6" ref="G5:G10">INT(D5/100-E5*1000-F5*10)</f>
        <v>3</v>
      </c>
      <c r="H5">
        <f aca="true" t="shared" si="7" ref="H5:H10">INT(D5-E5*100000-F5*1000-G5*100)</f>
        <v>86</v>
      </c>
      <c r="J5">
        <f t="shared" si="0"/>
      </c>
      <c r="K5" t="str">
        <f t="shared" si="1"/>
        <v>Eighty seven Thousand </v>
      </c>
      <c r="L5" t="str">
        <f t="shared" si="2"/>
        <v>Three Hundred </v>
      </c>
      <c r="M5" t="str">
        <f t="shared" si="3"/>
        <v>Eighty six Rupees</v>
      </c>
      <c r="O5" t="str">
        <f aca="true" t="shared" si="8" ref="O5:O10">J5&amp;K5&amp;L5&amp;M5</f>
        <v>Eighty seven Thousand Three Hundred Eighty six Rupees</v>
      </c>
    </row>
    <row r="6" spans="1:15" ht="15">
      <c r="A6">
        <v>5</v>
      </c>
      <c r="B6" s="154" t="s">
        <v>452</v>
      </c>
      <c r="D6">
        <f>Salary!AP48</f>
        <v>87935</v>
      </c>
      <c r="E6">
        <f t="shared" si="4"/>
        <v>0</v>
      </c>
      <c r="F6">
        <f t="shared" si="5"/>
        <v>87</v>
      </c>
      <c r="G6">
        <f t="shared" si="6"/>
        <v>9</v>
      </c>
      <c r="H6">
        <f t="shared" si="7"/>
        <v>35</v>
      </c>
      <c r="J6">
        <f t="shared" si="0"/>
      </c>
      <c r="K6" t="str">
        <f t="shared" si="1"/>
        <v>Eighty seven Thousand </v>
      </c>
      <c r="L6" t="str">
        <f t="shared" si="2"/>
        <v>Nine Hundred </v>
      </c>
      <c r="M6" t="str">
        <f t="shared" si="3"/>
        <v>Thirty five Rupees</v>
      </c>
      <c r="O6" t="str">
        <f t="shared" si="8"/>
        <v>Eighty seven Thousand Nine Hundred Thirty five Rupees</v>
      </c>
    </row>
    <row r="7" spans="1:15" ht="15">
      <c r="A7">
        <v>6</v>
      </c>
      <c r="B7" s="154" t="s">
        <v>453</v>
      </c>
      <c r="D7">
        <f>'PF-CPS'!I6</f>
        <v>2048</v>
      </c>
      <c r="E7">
        <f t="shared" si="4"/>
        <v>0</v>
      </c>
      <c r="F7">
        <f t="shared" si="5"/>
        <v>2</v>
      </c>
      <c r="G7">
        <f t="shared" si="6"/>
        <v>0</v>
      </c>
      <c r="H7">
        <f t="shared" si="7"/>
        <v>48</v>
      </c>
      <c r="J7">
        <f t="shared" si="0"/>
      </c>
      <c r="K7" t="str">
        <f t="shared" si="1"/>
        <v>Two Thousand </v>
      </c>
      <c r="L7">
        <f t="shared" si="2"/>
      </c>
      <c r="M7" t="str">
        <f t="shared" si="3"/>
        <v>Forty eight Rupees</v>
      </c>
      <c r="O7" t="str">
        <f t="shared" si="8"/>
        <v>Two Thousand Forty eight Rupees</v>
      </c>
    </row>
    <row r="8" spans="1:15" ht="15">
      <c r="A8">
        <v>7</v>
      </c>
      <c r="B8" s="154" t="s">
        <v>454</v>
      </c>
      <c r="D8">
        <v>1245256</v>
      </c>
      <c r="E8">
        <f t="shared" si="4"/>
        <v>12</v>
      </c>
      <c r="F8">
        <f t="shared" si="5"/>
        <v>45</v>
      </c>
      <c r="G8">
        <f t="shared" si="6"/>
        <v>2</v>
      </c>
      <c r="H8">
        <f t="shared" si="7"/>
        <v>56</v>
      </c>
      <c r="J8" t="str">
        <f t="shared" si="0"/>
        <v>Twelve Lakh </v>
      </c>
      <c r="K8" t="str">
        <f t="shared" si="1"/>
        <v>Forty five Thousand </v>
      </c>
      <c r="L8" t="str">
        <f t="shared" si="2"/>
        <v>Two Hundred </v>
      </c>
      <c r="M8" t="str">
        <f t="shared" si="3"/>
        <v>Fifty six Rupees</v>
      </c>
      <c r="O8" t="str">
        <f t="shared" si="8"/>
        <v>Twelve Lakh Forty five Thousand Two Hundred Fifty six Rupees</v>
      </c>
    </row>
    <row r="9" spans="1:15" ht="15">
      <c r="A9">
        <v>8</v>
      </c>
      <c r="B9" s="154" t="s">
        <v>455</v>
      </c>
      <c r="D9">
        <v>156324</v>
      </c>
      <c r="E9">
        <f t="shared" si="4"/>
        <v>1</v>
      </c>
      <c r="F9">
        <f t="shared" si="5"/>
        <v>56</v>
      </c>
      <c r="G9">
        <f t="shared" si="6"/>
        <v>3</v>
      </c>
      <c r="H9">
        <f t="shared" si="7"/>
        <v>24</v>
      </c>
      <c r="J9" t="str">
        <f t="shared" si="0"/>
        <v>One Lakh </v>
      </c>
      <c r="K9" t="str">
        <f t="shared" si="1"/>
        <v>Fifty six Thousand </v>
      </c>
      <c r="L9" t="str">
        <f t="shared" si="2"/>
        <v>Three Hundred </v>
      </c>
      <c r="M9" t="str">
        <f t="shared" si="3"/>
        <v>Twenty four Rupees</v>
      </c>
      <c r="O9" t="str">
        <f t="shared" si="8"/>
        <v>One Lakh Fifty six Thousand Three Hundred Twenty four Rupees</v>
      </c>
    </row>
    <row r="10" spans="1:15" ht="15">
      <c r="A10">
        <v>9</v>
      </c>
      <c r="B10" s="154" t="s">
        <v>456</v>
      </c>
      <c r="D10">
        <v>75325</v>
      </c>
      <c r="E10">
        <f t="shared" si="4"/>
        <v>0</v>
      </c>
      <c r="F10">
        <f t="shared" si="5"/>
        <v>75</v>
      </c>
      <c r="G10">
        <f t="shared" si="6"/>
        <v>3</v>
      </c>
      <c r="H10">
        <f t="shared" si="7"/>
        <v>25</v>
      </c>
      <c r="J10">
        <f t="shared" si="0"/>
      </c>
      <c r="K10" t="str">
        <f t="shared" si="1"/>
        <v>Seventy five Thousand </v>
      </c>
      <c r="L10" t="str">
        <f t="shared" si="2"/>
        <v>Three Hundred </v>
      </c>
      <c r="M10" t="str">
        <f t="shared" si="3"/>
        <v>Twenty five Rupees</v>
      </c>
      <c r="O10" t="str">
        <f t="shared" si="8"/>
        <v>Seventy five Thousand Three Hundred Twenty five Rupees</v>
      </c>
    </row>
    <row r="11" spans="1:2" ht="15">
      <c r="A11">
        <v>10</v>
      </c>
      <c r="B11" s="154" t="s">
        <v>457</v>
      </c>
    </row>
    <row r="12" spans="1:2" ht="15">
      <c r="A12">
        <v>11</v>
      </c>
      <c r="B12" s="154" t="s">
        <v>458</v>
      </c>
    </row>
    <row r="13" spans="1:2" ht="15">
      <c r="A13">
        <v>12</v>
      </c>
      <c r="B13" s="154" t="s">
        <v>459</v>
      </c>
    </row>
    <row r="14" spans="1:2" ht="15">
      <c r="A14">
        <v>13</v>
      </c>
      <c r="B14" s="154" t="s">
        <v>460</v>
      </c>
    </row>
    <row r="15" spans="1:2" ht="15">
      <c r="A15">
        <v>14</v>
      </c>
      <c r="B15" s="154" t="s">
        <v>461</v>
      </c>
    </row>
    <row r="16" spans="1:2" ht="15">
      <c r="A16">
        <v>15</v>
      </c>
      <c r="B16" s="154" t="s">
        <v>462</v>
      </c>
    </row>
    <row r="17" spans="1:2" ht="15">
      <c r="A17">
        <v>16</v>
      </c>
      <c r="B17" s="154" t="s">
        <v>463</v>
      </c>
    </row>
    <row r="18" spans="1:2" ht="15">
      <c r="A18">
        <v>17</v>
      </c>
      <c r="B18" s="154" t="s">
        <v>464</v>
      </c>
    </row>
    <row r="19" spans="1:2" ht="15">
      <c r="A19">
        <v>18</v>
      </c>
      <c r="B19" s="154" t="s">
        <v>465</v>
      </c>
    </row>
    <row r="20" spans="1:2" ht="15">
      <c r="A20">
        <v>19</v>
      </c>
      <c r="B20" s="154" t="s">
        <v>466</v>
      </c>
    </row>
    <row r="21" spans="1:2" ht="15">
      <c r="A21">
        <v>20</v>
      </c>
      <c r="B21" s="154" t="s">
        <v>467</v>
      </c>
    </row>
    <row r="22" spans="1:2" ht="15">
      <c r="A22">
        <v>21</v>
      </c>
      <c r="B22" s="154" t="s">
        <v>468</v>
      </c>
    </row>
    <row r="23" spans="1:2" ht="15">
      <c r="A23">
        <v>22</v>
      </c>
      <c r="B23" s="154" t="s">
        <v>469</v>
      </c>
    </row>
    <row r="24" spans="1:2" ht="15">
      <c r="A24">
        <v>23</v>
      </c>
      <c r="B24" s="154" t="s">
        <v>470</v>
      </c>
    </row>
    <row r="25" spans="1:2" ht="15">
      <c r="A25">
        <v>24</v>
      </c>
      <c r="B25" s="154" t="s">
        <v>471</v>
      </c>
    </row>
    <row r="26" spans="1:2" ht="15">
      <c r="A26">
        <v>25</v>
      </c>
      <c r="B26" s="154" t="s">
        <v>472</v>
      </c>
    </row>
    <row r="27" spans="1:2" ht="15">
      <c r="A27">
        <v>26</v>
      </c>
      <c r="B27" s="154" t="s">
        <v>473</v>
      </c>
    </row>
    <row r="28" spans="1:2" ht="15">
      <c r="A28">
        <v>27</v>
      </c>
      <c r="B28" s="154" t="s">
        <v>474</v>
      </c>
    </row>
    <row r="29" spans="1:2" ht="15">
      <c r="A29">
        <v>28</v>
      </c>
      <c r="B29" s="154" t="s">
        <v>475</v>
      </c>
    </row>
    <row r="30" spans="1:2" ht="15">
      <c r="A30">
        <v>29</v>
      </c>
      <c r="B30" s="154" t="s">
        <v>476</v>
      </c>
    </row>
    <row r="31" spans="1:2" ht="15">
      <c r="A31">
        <v>30</v>
      </c>
      <c r="B31" s="154" t="s">
        <v>477</v>
      </c>
    </row>
    <row r="32" spans="1:2" ht="15">
      <c r="A32">
        <v>31</v>
      </c>
      <c r="B32" s="154" t="s">
        <v>478</v>
      </c>
    </row>
    <row r="33" spans="1:2" ht="15">
      <c r="A33">
        <v>32</v>
      </c>
      <c r="B33" s="154" t="s">
        <v>479</v>
      </c>
    </row>
    <row r="34" spans="1:2" ht="15">
      <c r="A34">
        <v>33</v>
      </c>
      <c r="B34" s="154" t="s">
        <v>480</v>
      </c>
    </row>
    <row r="35" spans="1:2" ht="15">
      <c r="A35">
        <v>34</v>
      </c>
      <c r="B35" s="154" t="s">
        <v>481</v>
      </c>
    </row>
    <row r="36" spans="1:2" ht="15">
      <c r="A36">
        <v>35</v>
      </c>
      <c r="B36" s="154" t="s">
        <v>482</v>
      </c>
    </row>
    <row r="37" spans="1:2" ht="15">
      <c r="A37">
        <v>36</v>
      </c>
      <c r="B37" s="154" t="s">
        <v>483</v>
      </c>
    </row>
    <row r="38" spans="1:2" ht="15">
      <c r="A38">
        <v>37</v>
      </c>
      <c r="B38" s="154" t="s">
        <v>484</v>
      </c>
    </row>
    <row r="39" spans="1:2" ht="15">
      <c r="A39">
        <v>38</v>
      </c>
      <c r="B39" s="154" t="s">
        <v>485</v>
      </c>
    </row>
    <row r="40" spans="1:2" ht="15">
      <c r="A40">
        <v>39</v>
      </c>
      <c r="B40" s="154" t="s">
        <v>486</v>
      </c>
    </row>
    <row r="41" spans="1:2" ht="15">
      <c r="A41">
        <v>40</v>
      </c>
      <c r="B41" s="154" t="s">
        <v>487</v>
      </c>
    </row>
    <row r="42" spans="1:2" ht="15">
      <c r="A42">
        <v>41</v>
      </c>
      <c r="B42" s="154" t="s">
        <v>488</v>
      </c>
    </row>
    <row r="43" spans="1:2" ht="15">
      <c r="A43">
        <v>42</v>
      </c>
      <c r="B43" s="154" t="s">
        <v>489</v>
      </c>
    </row>
    <row r="44" spans="1:2" ht="15">
      <c r="A44">
        <v>43</v>
      </c>
      <c r="B44" s="154" t="s">
        <v>490</v>
      </c>
    </row>
    <row r="45" spans="1:2" ht="15">
      <c r="A45">
        <v>44</v>
      </c>
      <c r="B45" s="154" t="s">
        <v>491</v>
      </c>
    </row>
    <row r="46" spans="1:2" ht="15">
      <c r="A46">
        <v>45</v>
      </c>
      <c r="B46" s="154" t="s">
        <v>492</v>
      </c>
    </row>
    <row r="47" spans="1:2" ht="15">
      <c r="A47">
        <v>46</v>
      </c>
      <c r="B47" s="154" t="s">
        <v>493</v>
      </c>
    </row>
    <row r="48" spans="1:2" ht="15">
      <c r="A48">
        <v>47</v>
      </c>
      <c r="B48" s="154" t="s">
        <v>494</v>
      </c>
    </row>
    <row r="49" spans="1:2" ht="15">
      <c r="A49">
        <v>48</v>
      </c>
      <c r="B49" s="154" t="s">
        <v>495</v>
      </c>
    </row>
    <row r="50" spans="1:2" ht="15">
      <c r="A50">
        <v>49</v>
      </c>
      <c r="B50" s="154" t="s">
        <v>496</v>
      </c>
    </row>
    <row r="51" spans="1:2" ht="15">
      <c r="A51">
        <v>50</v>
      </c>
      <c r="B51" s="154" t="s">
        <v>497</v>
      </c>
    </row>
    <row r="52" spans="1:2" ht="15">
      <c r="A52">
        <v>51</v>
      </c>
      <c r="B52" s="154" t="s">
        <v>498</v>
      </c>
    </row>
    <row r="53" spans="1:2" ht="15">
      <c r="A53">
        <v>52</v>
      </c>
      <c r="B53" s="154" t="s">
        <v>499</v>
      </c>
    </row>
    <row r="54" spans="1:2" ht="15">
      <c r="A54">
        <v>53</v>
      </c>
      <c r="B54" s="154" t="s">
        <v>500</v>
      </c>
    </row>
    <row r="55" spans="1:2" ht="15">
      <c r="A55">
        <v>54</v>
      </c>
      <c r="B55" s="154" t="s">
        <v>501</v>
      </c>
    </row>
    <row r="56" spans="1:2" ht="15">
      <c r="A56">
        <v>55</v>
      </c>
      <c r="B56" s="154" t="s">
        <v>502</v>
      </c>
    </row>
    <row r="57" spans="1:2" ht="15">
      <c r="A57">
        <v>56</v>
      </c>
      <c r="B57" s="154" t="s">
        <v>503</v>
      </c>
    </row>
    <row r="58" spans="1:2" ht="15">
      <c r="A58">
        <v>57</v>
      </c>
      <c r="B58" s="154" t="s">
        <v>504</v>
      </c>
    </row>
    <row r="59" spans="1:2" ht="15">
      <c r="A59">
        <v>58</v>
      </c>
      <c r="B59" s="154" t="s">
        <v>505</v>
      </c>
    </row>
    <row r="60" spans="1:2" ht="15">
      <c r="A60">
        <v>59</v>
      </c>
      <c r="B60" s="154" t="s">
        <v>506</v>
      </c>
    </row>
    <row r="61" spans="1:2" ht="15">
      <c r="A61">
        <v>60</v>
      </c>
      <c r="B61" s="154" t="s">
        <v>507</v>
      </c>
    </row>
    <row r="62" spans="1:2" ht="15">
      <c r="A62">
        <v>61</v>
      </c>
      <c r="B62" s="154" t="s">
        <v>508</v>
      </c>
    </row>
    <row r="63" spans="1:2" ht="15">
      <c r="A63">
        <v>62</v>
      </c>
      <c r="B63" s="154" t="s">
        <v>509</v>
      </c>
    </row>
    <row r="64" spans="1:2" ht="15">
      <c r="A64">
        <v>63</v>
      </c>
      <c r="B64" s="154" t="s">
        <v>510</v>
      </c>
    </row>
    <row r="65" spans="1:2" ht="15">
      <c r="A65">
        <v>64</v>
      </c>
      <c r="B65" s="154" t="s">
        <v>511</v>
      </c>
    </row>
    <row r="66" spans="1:2" ht="15">
      <c r="A66">
        <v>65</v>
      </c>
      <c r="B66" s="154" t="s">
        <v>512</v>
      </c>
    </row>
    <row r="67" spans="1:2" ht="15">
      <c r="A67">
        <v>66</v>
      </c>
      <c r="B67" s="154" t="s">
        <v>513</v>
      </c>
    </row>
    <row r="68" spans="1:2" ht="15">
      <c r="A68">
        <v>67</v>
      </c>
      <c r="B68" s="154" t="s">
        <v>514</v>
      </c>
    </row>
    <row r="69" spans="1:2" ht="15">
      <c r="A69">
        <v>68</v>
      </c>
      <c r="B69" s="154" t="s">
        <v>515</v>
      </c>
    </row>
    <row r="70" spans="1:2" ht="15">
      <c r="A70">
        <v>69</v>
      </c>
      <c r="B70" s="154" t="s">
        <v>516</v>
      </c>
    </row>
    <row r="71" spans="1:2" ht="15">
      <c r="A71">
        <v>70</v>
      </c>
      <c r="B71" s="154" t="s">
        <v>517</v>
      </c>
    </row>
    <row r="72" spans="1:2" ht="15">
      <c r="A72">
        <v>71</v>
      </c>
      <c r="B72" s="154" t="s">
        <v>518</v>
      </c>
    </row>
    <row r="73" spans="1:2" ht="15">
      <c r="A73">
        <v>72</v>
      </c>
      <c r="B73" s="154" t="s">
        <v>519</v>
      </c>
    </row>
    <row r="74" spans="1:2" ht="15">
      <c r="A74">
        <v>73</v>
      </c>
      <c r="B74" s="154" t="s">
        <v>520</v>
      </c>
    </row>
    <row r="75" spans="1:2" ht="15">
      <c r="A75">
        <v>74</v>
      </c>
      <c r="B75" s="154" t="s">
        <v>521</v>
      </c>
    </row>
    <row r="76" spans="1:2" ht="15">
      <c r="A76">
        <v>75</v>
      </c>
      <c r="B76" s="154" t="s">
        <v>522</v>
      </c>
    </row>
    <row r="77" spans="1:2" ht="15">
      <c r="A77">
        <v>76</v>
      </c>
      <c r="B77" s="154" t="s">
        <v>523</v>
      </c>
    </row>
    <row r="78" spans="1:2" ht="15">
      <c r="A78">
        <v>77</v>
      </c>
      <c r="B78" s="154" t="s">
        <v>524</v>
      </c>
    </row>
    <row r="79" spans="1:2" ht="15">
      <c r="A79">
        <v>78</v>
      </c>
      <c r="B79" s="154" t="s">
        <v>525</v>
      </c>
    </row>
    <row r="80" spans="1:2" ht="15">
      <c r="A80">
        <v>79</v>
      </c>
      <c r="B80" s="154" t="s">
        <v>526</v>
      </c>
    </row>
    <row r="81" spans="1:2" ht="15">
      <c r="A81">
        <v>80</v>
      </c>
      <c r="B81" s="154" t="s">
        <v>527</v>
      </c>
    </row>
    <row r="82" spans="1:2" ht="15">
      <c r="A82">
        <v>81</v>
      </c>
      <c r="B82" s="154" t="s">
        <v>528</v>
      </c>
    </row>
    <row r="83" spans="1:2" ht="15">
      <c r="A83">
        <v>82</v>
      </c>
      <c r="B83" s="154" t="s">
        <v>529</v>
      </c>
    </row>
    <row r="84" spans="1:2" ht="15">
      <c r="A84">
        <v>83</v>
      </c>
      <c r="B84" s="154" t="s">
        <v>530</v>
      </c>
    </row>
    <row r="85" spans="1:2" ht="15">
      <c r="A85">
        <v>84</v>
      </c>
      <c r="B85" s="154" t="s">
        <v>531</v>
      </c>
    </row>
    <row r="86" spans="1:2" ht="15">
      <c r="A86">
        <v>85</v>
      </c>
      <c r="B86" s="154" t="s">
        <v>532</v>
      </c>
    </row>
    <row r="87" spans="1:2" ht="15">
      <c r="A87">
        <v>86</v>
      </c>
      <c r="B87" s="154" t="s">
        <v>533</v>
      </c>
    </row>
    <row r="88" spans="1:2" ht="15">
      <c r="A88">
        <v>87</v>
      </c>
      <c r="B88" s="154" t="s">
        <v>534</v>
      </c>
    </row>
    <row r="89" spans="1:2" ht="15">
      <c r="A89">
        <v>88</v>
      </c>
      <c r="B89" s="154" t="s">
        <v>535</v>
      </c>
    </row>
    <row r="90" spans="1:2" ht="15">
      <c r="A90">
        <v>89</v>
      </c>
      <c r="B90" s="154" t="s">
        <v>536</v>
      </c>
    </row>
    <row r="91" spans="1:2" ht="15">
      <c r="A91">
        <v>90</v>
      </c>
      <c r="B91" s="154" t="s">
        <v>537</v>
      </c>
    </row>
    <row r="92" spans="1:2" ht="15">
      <c r="A92">
        <v>91</v>
      </c>
      <c r="B92" s="154" t="s">
        <v>538</v>
      </c>
    </row>
    <row r="93" spans="1:2" ht="15">
      <c r="A93">
        <v>92</v>
      </c>
      <c r="B93" s="154" t="s">
        <v>539</v>
      </c>
    </row>
    <row r="94" spans="1:2" ht="15">
      <c r="A94">
        <v>93</v>
      </c>
      <c r="B94" s="154" t="s">
        <v>540</v>
      </c>
    </row>
    <row r="95" spans="1:2" ht="15">
      <c r="A95">
        <v>94</v>
      </c>
      <c r="B95" s="154" t="s">
        <v>541</v>
      </c>
    </row>
    <row r="96" spans="1:2" ht="15">
      <c r="A96">
        <v>95</v>
      </c>
      <c r="B96" s="154" t="s">
        <v>542</v>
      </c>
    </row>
    <row r="97" spans="1:2" ht="15">
      <c r="A97">
        <v>96</v>
      </c>
      <c r="B97" s="154" t="s">
        <v>543</v>
      </c>
    </row>
    <row r="98" spans="1:2" ht="15">
      <c r="A98">
        <v>97</v>
      </c>
      <c r="B98" s="154" t="s">
        <v>544</v>
      </c>
    </row>
    <row r="99" spans="1:2" ht="15">
      <c r="A99">
        <v>98</v>
      </c>
      <c r="B99" s="154" t="s">
        <v>545</v>
      </c>
    </row>
    <row r="100" spans="1:2" ht="15">
      <c r="A100">
        <v>99</v>
      </c>
      <c r="B100" s="154" t="s">
        <v>546</v>
      </c>
    </row>
    <row r="104" ht="15">
      <c r="B104" s="15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4:AP53"/>
  <sheetViews>
    <sheetView showGridLines="0" showRowColHeaders="0" zoomScale="90" zoomScaleNormal="90" zoomScalePageLayoutView="0" workbookViewId="0" topLeftCell="A1">
      <pane ySplit="6" topLeftCell="A7" activePane="bottomLeft" state="frozen"/>
      <selection pane="topLeft" activeCell="A1" sqref="A1"/>
      <selection pane="bottomLeft" activeCell="AT49" sqref="AT49"/>
    </sheetView>
  </sheetViews>
  <sheetFormatPr defaultColWidth="9.140625" defaultRowHeight="15"/>
  <cols>
    <col min="1" max="1" width="3.57421875" style="230" customWidth="1"/>
    <col min="2" max="2" width="9.421875" style="230" customWidth="1"/>
    <col min="3" max="3" width="7.421875" style="230" customWidth="1"/>
    <col min="4" max="4" width="5.00390625" style="230" customWidth="1"/>
    <col min="5" max="5" width="3.421875" style="230" customWidth="1"/>
    <col min="6" max="6" width="4.57421875" style="230" hidden="1" customWidth="1"/>
    <col min="7" max="7" width="5.8515625" style="230" customWidth="1"/>
    <col min="8" max="8" width="7.00390625" style="230" bestFit="1" customWidth="1"/>
    <col min="9" max="11" width="4.7109375" style="230" customWidth="1"/>
    <col min="12" max="12" width="4.00390625" style="230" customWidth="1"/>
    <col min="13" max="13" width="6.8515625" style="230" customWidth="1"/>
    <col min="14" max="14" width="5.140625" style="230" customWidth="1"/>
    <col min="15" max="15" width="7.140625" style="230" customWidth="1"/>
    <col min="16" max="16" width="4.8515625" style="230" customWidth="1"/>
    <col min="17" max="17" width="4.00390625" style="230" customWidth="1"/>
    <col min="18" max="18" width="5.00390625" style="230" hidden="1" customWidth="1"/>
    <col min="19" max="19" width="8.421875" style="230" customWidth="1"/>
    <col min="20" max="21" width="5.8515625" style="230" customWidth="1"/>
    <col min="22" max="22" width="4.28125" style="230" customWidth="1"/>
    <col min="23" max="23" width="4.7109375" style="230" customWidth="1"/>
    <col min="24" max="24" width="4.00390625" style="230" customWidth="1"/>
    <col min="25" max="25" width="4.28125" style="230" customWidth="1"/>
    <col min="26" max="26" width="7.57421875" style="230" customWidth="1"/>
    <col min="27" max="27" width="4.8515625" style="230" customWidth="1"/>
    <col min="28" max="28" width="6.8515625" style="230" customWidth="1"/>
    <col min="29" max="30" width="4.00390625" style="230" customWidth="1"/>
    <col min="31" max="31" width="7.00390625" style="230" customWidth="1"/>
    <col min="32" max="32" width="6.7109375" style="230" customWidth="1"/>
    <col min="33" max="33" width="5.140625" style="230" customWidth="1"/>
    <col min="34" max="34" width="4.00390625" style="230" bestFit="1" customWidth="1"/>
    <col min="35" max="35" width="4.421875" style="230" customWidth="1"/>
    <col min="36" max="36" width="4.28125" style="230" bestFit="1" customWidth="1"/>
    <col min="37" max="37" width="3.57421875" style="230" bestFit="1" customWidth="1"/>
    <col min="38" max="38" width="7.00390625" style="230" bestFit="1" customWidth="1"/>
    <col min="39" max="39" width="4.7109375" style="230" customWidth="1"/>
    <col min="40" max="40" width="8.28125" style="230" customWidth="1"/>
    <col min="41" max="41" width="6.28125" style="230" customWidth="1"/>
    <col min="42" max="42" width="7.57421875" style="230" customWidth="1"/>
    <col min="43" max="16384" width="9.140625" style="230" customWidth="1"/>
  </cols>
  <sheetData>
    <row r="4" spans="1:42" ht="21">
      <c r="A4" s="526" t="str">
        <f>"Pay Fixation Difference Statement of "&amp;Data!G6&amp;", "&amp;IF(Data!AG57&lt;&gt;15,Data!AH57,Data!AB53)&amp;", "&amp;Data!U53&amp;", "&amp;Data!L7&amp;" "&amp;"Mandal, "&amp;Data!P7&amp;" District."</f>
        <v>Pay Fixation Difference Statement of Sri S Nithin, SA(Hin), Z P High School, M.D Mangalam, G D Nellore Mandal, Karimnagar District.</v>
      </c>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8"/>
    </row>
    <row r="5" spans="1:42" ht="17.25" customHeight="1">
      <c r="A5" s="520" t="s">
        <v>121</v>
      </c>
      <c r="B5" s="522" t="s">
        <v>91</v>
      </c>
      <c r="C5" s="522" t="s">
        <v>124</v>
      </c>
      <c r="D5" s="522"/>
      <c r="E5" s="522"/>
      <c r="F5" s="522"/>
      <c r="G5" s="522"/>
      <c r="H5" s="522"/>
      <c r="I5" s="522"/>
      <c r="J5" s="522"/>
      <c r="K5" s="522"/>
      <c r="L5" s="522"/>
      <c r="M5" s="522"/>
      <c r="N5" s="521" t="s">
        <v>134</v>
      </c>
      <c r="O5" s="522" t="s">
        <v>132</v>
      </c>
      <c r="P5" s="522"/>
      <c r="Q5" s="522"/>
      <c r="R5" s="522"/>
      <c r="S5" s="522"/>
      <c r="T5" s="522"/>
      <c r="U5" s="522"/>
      <c r="V5" s="522"/>
      <c r="W5" s="522"/>
      <c r="X5" s="522"/>
      <c r="Y5" s="522"/>
      <c r="Z5" s="522"/>
      <c r="AA5" s="538" t="s">
        <v>135</v>
      </c>
      <c r="AB5" s="522" t="s">
        <v>191</v>
      </c>
      <c r="AC5" s="522"/>
      <c r="AD5" s="522"/>
      <c r="AE5" s="522"/>
      <c r="AF5" s="522"/>
      <c r="AG5" s="522"/>
      <c r="AH5" s="522"/>
      <c r="AI5" s="522"/>
      <c r="AJ5" s="522"/>
      <c r="AK5" s="522"/>
      <c r="AL5" s="522"/>
      <c r="AM5" s="520" t="s">
        <v>667</v>
      </c>
      <c r="AN5" s="537" t="s">
        <v>443</v>
      </c>
      <c r="AO5" s="520" t="str">
        <f>IF(Data!$Z$111=1,"ZPPF",IF(Data!$Z$111=2,"GPF",IF(Data!$Z$111=4,"Class IV","CPS")))</f>
        <v>CPS</v>
      </c>
      <c r="AP5" s="520" t="s">
        <v>668</v>
      </c>
    </row>
    <row r="6" spans="1:42" ht="38.25">
      <c r="A6" s="520"/>
      <c r="B6" s="522"/>
      <c r="C6" s="352" t="s">
        <v>106</v>
      </c>
      <c r="D6" s="353" t="s">
        <v>133</v>
      </c>
      <c r="E6" s="354" t="s">
        <v>731</v>
      </c>
      <c r="F6" s="352"/>
      <c r="G6" s="352" t="s">
        <v>109</v>
      </c>
      <c r="H6" s="352" t="s">
        <v>57</v>
      </c>
      <c r="I6" s="355" t="s">
        <v>54</v>
      </c>
      <c r="J6" s="352" t="s">
        <v>122</v>
      </c>
      <c r="K6" s="352" t="s">
        <v>131</v>
      </c>
      <c r="L6" s="353" t="s">
        <v>139</v>
      </c>
      <c r="M6" s="356" t="s">
        <v>123</v>
      </c>
      <c r="N6" s="521"/>
      <c r="O6" s="357" t="s">
        <v>106</v>
      </c>
      <c r="P6" s="358" t="s">
        <v>136</v>
      </c>
      <c r="Q6" s="359" t="s">
        <v>731</v>
      </c>
      <c r="R6" s="357"/>
      <c r="S6" s="357" t="s">
        <v>109</v>
      </c>
      <c r="T6" s="357" t="s">
        <v>137</v>
      </c>
      <c r="U6" s="357" t="s">
        <v>57</v>
      </c>
      <c r="V6" s="360" t="s">
        <v>54</v>
      </c>
      <c r="W6" s="357" t="s">
        <v>122</v>
      </c>
      <c r="X6" s="357" t="s">
        <v>131</v>
      </c>
      <c r="Y6" s="358" t="s">
        <v>138</v>
      </c>
      <c r="Z6" s="357" t="s">
        <v>123</v>
      </c>
      <c r="AA6" s="538"/>
      <c r="AB6" s="361" t="s">
        <v>106</v>
      </c>
      <c r="AC6" s="358" t="s">
        <v>698</v>
      </c>
      <c r="AD6" s="354" t="s">
        <v>731</v>
      </c>
      <c r="AE6" s="356" t="s">
        <v>109</v>
      </c>
      <c r="AF6" s="356" t="s">
        <v>57</v>
      </c>
      <c r="AG6" s="362" t="s">
        <v>54</v>
      </c>
      <c r="AH6" s="362" t="s">
        <v>122</v>
      </c>
      <c r="AI6" s="362" t="s">
        <v>131</v>
      </c>
      <c r="AJ6" s="363" t="s">
        <v>139</v>
      </c>
      <c r="AK6" s="356"/>
      <c r="AL6" s="356" t="s">
        <v>123</v>
      </c>
      <c r="AM6" s="520"/>
      <c r="AN6" s="537"/>
      <c r="AO6" s="520"/>
      <c r="AP6" s="520"/>
    </row>
    <row r="7" spans="1:42" ht="15.75">
      <c r="A7" s="525" t="s">
        <v>609</v>
      </c>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231"/>
      <c r="AO7" s="231"/>
      <c r="AP7" s="231"/>
    </row>
    <row r="8" spans="1:42" ht="15">
      <c r="A8" s="293">
        <v>1</v>
      </c>
      <c r="B8" s="294" t="str">
        <f>Data!Y129</f>
        <v>Jul-2013</v>
      </c>
      <c r="C8" s="295">
        <f>IF(A8&gt;=Data!$AC$53,Data!AJ129,0)</f>
        <v>39160</v>
      </c>
      <c r="D8" s="295"/>
      <c r="E8" s="295">
        <f>Data!O10+Data!Q10</f>
        <v>85</v>
      </c>
      <c r="F8" s="295"/>
      <c r="G8" s="295">
        <f>ROUND(C8*VLOOKUP(A8,Data!$X$129:$AR$158,14,0)/100,0)</f>
        <v>0</v>
      </c>
      <c r="H8" s="295">
        <f>IF(AND(OR(Data!AE129=12,Data!AE129=14.5,Data!AE129=20),ROUND(C8*Data!AE129/100,0)&gt;=15000),15000,IF(AND(Data!AE129=30,ROUND(C8*Data!AE129/100,0)&gt;=20000),20000,ROUND(C8*Data!AE129/100,0)))</f>
        <v>7832</v>
      </c>
      <c r="I8" s="295">
        <f>Data!$AJ$104</f>
        <v>75</v>
      </c>
      <c r="J8" s="295">
        <f>Data!AN129</f>
        <v>0</v>
      </c>
      <c r="K8" s="295">
        <f>IF(Data!$AL$55=2,IF(ROUND(C8*10/100,0)&lt;=2000,ROUND(C8*10/100,0),2000),0)</f>
        <v>0</v>
      </c>
      <c r="L8" s="295"/>
      <c r="M8" s="295">
        <f aca="true" t="shared" si="0" ref="M8:M19">SUM(C8:L8)</f>
        <v>47152</v>
      </c>
      <c r="N8" s="295">
        <f aca="true" t="shared" si="1" ref="N8:N18">IF(C8=0,0,IF(M8&gt;20000,200,IF(M8&gt;15000,150,IF(M8&gt;10000,100,80))))</f>
        <v>200</v>
      </c>
      <c r="O8" s="295">
        <f>IF(C8=0,0,Data!AB129)</f>
        <v>18520</v>
      </c>
      <c r="P8" s="295"/>
      <c r="Q8" s="295">
        <f aca="true" t="shared" si="2" ref="Q8:Q18">E8</f>
        <v>85</v>
      </c>
      <c r="R8" s="295"/>
      <c r="S8" s="295">
        <f>ROUND(O8*LOOKUP(A8,Data!X129:X158,Data!AC129:AC158)/100,0)</f>
        <v>11731</v>
      </c>
      <c r="T8" s="295">
        <f aca="true" t="shared" si="3" ref="T8:T13">ROUND(O8*0/100,0)</f>
        <v>0</v>
      </c>
      <c r="U8" s="295">
        <f>IF(AND(OR(Data!AE129=12,Data!AE129=14.5,Data!AE129=20),ROUND(Salary!O8*Data!AE129/100,0)&gt;=8000),8000,IF(AND(Data!AE129=30,ROUND(Salary!O8*Data!AE129/100,0)&gt;=12000),12000,ROUND(Salary!O8*Data!AE129/100,0)))</f>
        <v>3704</v>
      </c>
      <c r="V8" s="295">
        <f aca="true" t="shared" si="4" ref="V8:V18">I8</f>
        <v>75</v>
      </c>
      <c r="W8" s="295">
        <f>Data!AH129</f>
        <v>0</v>
      </c>
      <c r="X8" s="295">
        <f>IF(Data!$AL$55=2,IF(ROUND(O8*10/100,0)&lt;=900,ROUND(O8*10/100,0),900),0)</f>
        <v>0</v>
      </c>
      <c r="Y8" s="295"/>
      <c r="Z8" s="296">
        <f aca="true" t="shared" si="5" ref="Z8:Z19">SUM(O8:Y8)</f>
        <v>34115</v>
      </c>
      <c r="AA8" s="295">
        <f aca="true" t="shared" si="6" ref="AA8:AA18">IF(O8=0,0,IF(Z8&gt;20000,200,IF(Z8&gt;15000,150,IF(Z8&gt;10000,100,80))))</f>
        <v>200</v>
      </c>
      <c r="AB8" s="295">
        <f aca="true" t="shared" si="7" ref="AB8:AB19">C8-O8-S8-T8</f>
        <v>8909</v>
      </c>
      <c r="AC8" s="295">
        <f aca="true" t="shared" si="8" ref="AC8:AC18">D8-P8</f>
        <v>0</v>
      </c>
      <c r="AD8" s="295">
        <v>0</v>
      </c>
      <c r="AE8" s="295">
        <f aca="true" t="shared" si="9" ref="AE8:AE22">G8</f>
        <v>0</v>
      </c>
      <c r="AF8" s="295">
        <f aca="true" t="shared" si="10" ref="AF8:AF19">H8-U8</f>
        <v>4128</v>
      </c>
      <c r="AG8" s="295">
        <f>I8-V8</f>
        <v>0</v>
      </c>
      <c r="AH8" s="295">
        <f aca="true" t="shared" si="11" ref="AH8:AH18">J8-W8</f>
        <v>0</v>
      </c>
      <c r="AI8" s="295">
        <f aca="true" t="shared" si="12" ref="AI8:AI18">K8-X8</f>
        <v>0</v>
      </c>
      <c r="AJ8" s="295">
        <f aca="true" t="shared" si="13" ref="AJ8:AJ18">L8-Y8</f>
        <v>0</v>
      </c>
      <c r="AK8" s="295"/>
      <c r="AL8" s="296">
        <f>SUM(AB8:AJ8)</f>
        <v>13037</v>
      </c>
      <c r="AM8" s="295">
        <f aca="true" t="shared" si="14" ref="AM8:AM18">N8-AA8</f>
        <v>0</v>
      </c>
      <c r="AN8" s="297">
        <f>IF(ISERROR(AL8-AM8),"",AL8-AM8)</f>
        <v>13037</v>
      </c>
      <c r="AO8" s="297"/>
      <c r="AP8" s="298"/>
    </row>
    <row r="9" spans="1:42" ht="15">
      <c r="A9" s="299">
        <v>2</v>
      </c>
      <c r="B9" s="300" t="str">
        <f>Data!Y130</f>
        <v>Aug-2013</v>
      </c>
      <c r="C9" s="301">
        <f>IF(A9&gt;=Data!$AC$53,Data!AJ130,0)</f>
        <v>39160</v>
      </c>
      <c r="D9" s="301"/>
      <c r="E9" s="301">
        <f>Data!$O$10</f>
        <v>50</v>
      </c>
      <c r="F9" s="301"/>
      <c r="G9" s="301">
        <f>ROUND(C9*VLOOKUP(A9,Data!$X$129:$AR$158,14,0)/100,0)</f>
        <v>0</v>
      </c>
      <c r="H9" s="295">
        <f>IF(AND(OR(Data!AE130=12,Data!AE130=14.5,Data!AE130=20),ROUND(C9*Data!AE130/100,0)&gt;=15000),15000,IF(AND(Data!AE130=30,ROUND(C9*Data!AE130/100,0)&gt;=20000),20000,ROUND(C9*Data!AE130/100,0)))</f>
        <v>7832</v>
      </c>
      <c r="I9" s="301">
        <f>Data!$AJ$104</f>
        <v>75</v>
      </c>
      <c r="J9" s="301">
        <f>Data!AN130</f>
        <v>0</v>
      </c>
      <c r="K9" s="301">
        <f>IF(Data!$AL$55=2,IF(ROUND(C9*10/100,0)&lt;=2000,ROUND(C9*10/100,0),2000),0)</f>
        <v>0</v>
      </c>
      <c r="L9" s="301"/>
      <c r="M9" s="301">
        <f t="shared" si="0"/>
        <v>47117</v>
      </c>
      <c r="N9" s="301">
        <f t="shared" si="1"/>
        <v>200</v>
      </c>
      <c r="O9" s="301">
        <f>IF(C9=0,0,Data!AB130)</f>
        <v>18520</v>
      </c>
      <c r="P9" s="301"/>
      <c r="Q9" s="301">
        <f t="shared" si="2"/>
        <v>50</v>
      </c>
      <c r="R9" s="301"/>
      <c r="S9" s="301">
        <f>ROUND(O9*LOOKUP(A9,Data!X130:X159,Data!AC130:AC159)/100,0)</f>
        <v>11731</v>
      </c>
      <c r="T9" s="301">
        <f t="shared" si="3"/>
        <v>0</v>
      </c>
      <c r="U9" s="295">
        <f>IF(AND(OR(Data!AE130=12,Data!AE130=14.5,Data!AE130=20),ROUND(Salary!O9*Data!AE130/100,0)&gt;=8000),8000,IF(AND(Data!AE130=30,ROUND(Salary!O9*Data!AE130/100,0)&gt;=12000),12000,ROUND(Salary!O9*Data!AE130/100,0)))</f>
        <v>3704</v>
      </c>
      <c r="V9" s="301">
        <f t="shared" si="4"/>
        <v>75</v>
      </c>
      <c r="W9" s="301">
        <f>Data!AH130</f>
        <v>0</v>
      </c>
      <c r="X9" s="301">
        <f>IF(Data!$AL$55=2,IF(ROUND(O9*10/100,0)&lt;=900,ROUND(O9*10/100,0),900),0)</f>
        <v>0</v>
      </c>
      <c r="Y9" s="301"/>
      <c r="Z9" s="302">
        <f t="shared" si="5"/>
        <v>34080</v>
      </c>
      <c r="AA9" s="301">
        <f t="shared" si="6"/>
        <v>200</v>
      </c>
      <c r="AB9" s="301">
        <f t="shared" si="7"/>
        <v>8909</v>
      </c>
      <c r="AC9" s="301">
        <f t="shared" si="8"/>
        <v>0</v>
      </c>
      <c r="AD9" s="301">
        <v>0</v>
      </c>
      <c r="AE9" s="301">
        <f t="shared" si="9"/>
        <v>0</v>
      </c>
      <c r="AF9" s="301">
        <f t="shared" si="10"/>
        <v>4128</v>
      </c>
      <c r="AG9" s="295">
        <f aca="true" t="shared" si="15" ref="AG9:AG18">I9-V9</f>
        <v>0</v>
      </c>
      <c r="AH9" s="301">
        <f t="shared" si="11"/>
        <v>0</v>
      </c>
      <c r="AI9" s="301">
        <f t="shared" si="12"/>
        <v>0</v>
      </c>
      <c r="AJ9" s="301">
        <f t="shared" si="13"/>
        <v>0</v>
      </c>
      <c r="AK9" s="301"/>
      <c r="AL9" s="302">
        <f aca="true" t="shared" si="16" ref="AL9:AL40">SUM(AB9:AJ9)</f>
        <v>13037</v>
      </c>
      <c r="AM9" s="301">
        <f t="shared" si="14"/>
        <v>0</v>
      </c>
      <c r="AN9" s="303">
        <f aca="true" t="shared" si="17" ref="AN9:AN23">IF(ISERROR(AL9-AM9),"",AL9-AM9)</f>
        <v>13037</v>
      </c>
      <c r="AO9" s="303"/>
      <c r="AP9" s="304"/>
    </row>
    <row r="10" spans="1:42" ht="15">
      <c r="A10" s="299">
        <v>3</v>
      </c>
      <c r="B10" s="300" t="str">
        <f>Data!Y131</f>
        <v>Sep-2013</v>
      </c>
      <c r="C10" s="301">
        <f>IF(A10&gt;=Data!$AC$53,Data!AJ131,0)</f>
        <v>39160</v>
      </c>
      <c r="D10" s="301"/>
      <c r="E10" s="301">
        <f>Data!$O$10</f>
        <v>50</v>
      </c>
      <c r="F10" s="301"/>
      <c r="G10" s="301">
        <f>ROUND(C10*VLOOKUP(A10,Data!$X$129:$AR$158,14,0)/100,0)</f>
        <v>0</v>
      </c>
      <c r="H10" s="295">
        <f>IF(AND(OR(Data!AE131=12,Data!AE131=14.5,Data!AE131=20),ROUND(C10*Data!AE131/100,0)&gt;=15000),15000,IF(AND(Data!AE131=30,ROUND(C10*Data!AE131/100,0)&gt;=20000),20000,ROUND(C10*Data!AE131/100,0)))</f>
        <v>7832</v>
      </c>
      <c r="I10" s="301">
        <f>Data!$AJ$104</f>
        <v>75</v>
      </c>
      <c r="J10" s="301">
        <f>Data!AN131</f>
        <v>0</v>
      </c>
      <c r="K10" s="301">
        <f>IF(Data!$AL$55=2,IF(ROUND(C10*10/100,0)&lt;=2000,ROUND(C10*10/100,0),2000),0)</f>
        <v>0</v>
      </c>
      <c r="L10" s="301"/>
      <c r="M10" s="301">
        <f t="shared" si="0"/>
        <v>47117</v>
      </c>
      <c r="N10" s="301">
        <f t="shared" si="1"/>
        <v>200</v>
      </c>
      <c r="O10" s="301">
        <f>IF(C10=0,0,Data!AB131)</f>
        <v>18520</v>
      </c>
      <c r="P10" s="301"/>
      <c r="Q10" s="301">
        <f t="shared" si="2"/>
        <v>50</v>
      </c>
      <c r="R10" s="301"/>
      <c r="S10" s="301">
        <f>ROUND(O10*LOOKUP(A10,Data!X131:X160,Data!AC131:AC160)/100,0)</f>
        <v>11731</v>
      </c>
      <c r="T10" s="301">
        <f t="shared" si="3"/>
        <v>0</v>
      </c>
      <c r="U10" s="295">
        <f>IF(AND(OR(Data!AE131=12,Data!AE131=14.5,Data!AE131=20),ROUND(Salary!O10*Data!AE131/100,0)&gt;=8000),8000,IF(AND(Data!AE131=30,ROUND(Salary!O10*Data!AE131/100,0)&gt;=12000),12000,ROUND(Salary!O10*Data!AE131/100,0)))</f>
        <v>3704</v>
      </c>
      <c r="V10" s="301">
        <f t="shared" si="4"/>
        <v>75</v>
      </c>
      <c r="W10" s="301">
        <f>Data!AH131</f>
        <v>0</v>
      </c>
      <c r="X10" s="301">
        <f>IF(Data!$AL$55=2,IF(ROUND(O10*10/100,0)&lt;=900,ROUND(O10*10/100,0),900),0)</f>
        <v>0</v>
      </c>
      <c r="Y10" s="301"/>
      <c r="Z10" s="302">
        <f t="shared" si="5"/>
        <v>34080</v>
      </c>
      <c r="AA10" s="301">
        <f t="shared" si="6"/>
        <v>200</v>
      </c>
      <c r="AB10" s="301">
        <f t="shared" si="7"/>
        <v>8909</v>
      </c>
      <c r="AC10" s="301">
        <f t="shared" si="8"/>
        <v>0</v>
      </c>
      <c r="AD10" s="301">
        <v>0</v>
      </c>
      <c r="AE10" s="301">
        <f t="shared" si="9"/>
        <v>0</v>
      </c>
      <c r="AF10" s="301">
        <f t="shared" si="10"/>
        <v>4128</v>
      </c>
      <c r="AG10" s="295">
        <f t="shared" si="15"/>
        <v>0</v>
      </c>
      <c r="AH10" s="301">
        <f t="shared" si="11"/>
        <v>0</v>
      </c>
      <c r="AI10" s="301">
        <f t="shared" si="12"/>
        <v>0</v>
      </c>
      <c r="AJ10" s="301">
        <f t="shared" si="13"/>
        <v>0</v>
      </c>
      <c r="AK10" s="301"/>
      <c r="AL10" s="302">
        <f t="shared" si="16"/>
        <v>13037</v>
      </c>
      <c r="AM10" s="301">
        <f t="shared" si="14"/>
        <v>0</v>
      </c>
      <c r="AN10" s="303">
        <f t="shared" si="17"/>
        <v>13037</v>
      </c>
      <c r="AO10" s="303"/>
      <c r="AP10" s="304"/>
    </row>
    <row r="11" spans="1:42" ht="15">
      <c r="A11" s="299">
        <v>4</v>
      </c>
      <c r="B11" s="300" t="str">
        <f>Data!Y132</f>
        <v>Oct-2013</v>
      </c>
      <c r="C11" s="301">
        <f>IF(A11&gt;=Data!$AC$53,Data!AJ132,0)</f>
        <v>39160</v>
      </c>
      <c r="D11" s="301"/>
      <c r="E11" s="301">
        <f>Data!$O$10</f>
        <v>50</v>
      </c>
      <c r="F11" s="301"/>
      <c r="G11" s="301">
        <f>ROUND(C11*VLOOKUP(A11,Data!$X$129:$AR$158,14,0)/100,0)</f>
        <v>0</v>
      </c>
      <c r="H11" s="295">
        <f>IF(AND(OR(Data!AE132=12,Data!AE132=14.5,Data!AE132=20),ROUND(C11*Data!AE132/100,0)&gt;=15000),15000,IF(AND(Data!AE132=30,ROUND(C11*Data!AE132/100,0)&gt;=20000),20000,ROUND(C11*Data!AE132/100,0)))</f>
        <v>7832</v>
      </c>
      <c r="I11" s="301">
        <f>Data!$AJ$104</f>
        <v>75</v>
      </c>
      <c r="J11" s="301">
        <f>Data!AN132</f>
        <v>0</v>
      </c>
      <c r="K11" s="301">
        <f>IF(Data!$AL$55=2,IF(ROUND(C11*10/100,0)&lt;=2000,ROUND(C11*10/100,0),2000),0)</f>
        <v>0</v>
      </c>
      <c r="L11" s="301"/>
      <c r="M11" s="301">
        <f t="shared" si="0"/>
        <v>47117</v>
      </c>
      <c r="N11" s="301">
        <f t="shared" si="1"/>
        <v>200</v>
      </c>
      <c r="O11" s="301">
        <f>IF(C11=0,0,Data!AB132)</f>
        <v>18520</v>
      </c>
      <c r="P11" s="301"/>
      <c r="Q11" s="301">
        <f t="shared" si="2"/>
        <v>50</v>
      </c>
      <c r="R11" s="301"/>
      <c r="S11" s="301">
        <f>ROUND(O11*LOOKUP(A11,Data!X132:X161,Data!AC132:AC161)/100,0)</f>
        <v>11731</v>
      </c>
      <c r="T11" s="301">
        <f t="shared" si="3"/>
        <v>0</v>
      </c>
      <c r="U11" s="295">
        <f>IF(AND(OR(Data!AE132=12,Data!AE132=14.5,Data!AE132=20),ROUND(Salary!O11*Data!AE132/100,0)&gt;=8000),8000,IF(AND(Data!AE132=30,ROUND(Salary!O11*Data!AE132/100,0)&gt;=12000),12000,ROUND(Salary!O11*Data!AE132/100,0)))</f>
        <v>3704</v>
      </c>
      <c r="V11" s="301">
        <f t="shared" si="4"/>
        <v>75</v>
      </c>
      <c r="W11" s="301">
        <f>Data!AH132</f>
        <v>0</v>
      </c>
      <c r="X11" s="301">
        <f>IF(Data!$AL$55=2,IF(ROUND(O11*10/100,0)&lt;=900,ROUND(O11*10/100,0),900),0)</f>
        <v>0</v>
      </c>
      <c r="Y11" s="301"/>
      <c r="Z11" s="302">
        <f t="shared" si="5"/>
        <v>34080</v>
      </c>
      <c r="AA11" s="301">
        <f t="shared" si="6"/>
        <v>200</v>
      </c>
      <c r="AB11" s="301">
        <f t="shared" si="7"/>
        <v>8909</v>
      </c>
      <c r="AC11" s="301">
        <f t="shared" si="8"/>
        <v>0</v>
      </c>
      <c r="AD11" s="301">
        <v>0</v>
      </c>
      <c r="AE11" s="301">
        <f t="shared" si="9"/>
        <v>0</v>
      </c>
      <c r="AF11" s="301">
        <f t="shared" si="10"/>
        <v>4128</v>
      </c>
      <c r="AG11" s="295">
        <f t="shared" si="15"/>
        <v>0</v>
      </c>
      <c r="AH11" s="301">
        <f t="shared" si="11"/>
        <v>0</v>
      </c>
      <c r="AI11" s="301">
        <f t="shared" si="12"/>
        <v>0</v>
      </c>
      <c r="AJ11" s="301">
        <f t="shared" si="13"/>
        <v>0</v>
      </c>
      <c r="AK11" s="301"/>
      <c r="AL11" s="302">
        <f t="shared" si="16"/>
        <v>13037</v>
      </c>
      <c r="AM11" s="301">
        <f t="shared" si="14"/>
        <v>0</v>
      </c>
      <c r="AN11" s="303">
        <f t="shared" si="17"/>
        <v>13037</v>
      </c>
      <c r="AO11" s="303"/>
      <c r="AP11" s="304"/>
    </row>
    <row r="12" spans="1:42" ht="15">
      <c r="A12" s="299">
        <v>5</v>
      </c>
      <c r="B12" s="300" t="str">
        <f>Data!Y133</f>
        <v>Nov-2013</v>
      </c>
      <c r="C12" s="301">
        <f>IF(A12&gt;=Data!$AC$53,Data!AJ133,0)</f>
        <v>40270</v>
      </c>
      <c r="D12" s="301"/>
      <c r="E12" s="301">
        <f>Data!$O$10</f>
        <v>50</v>
      </c>
      <c r="F12" s="301"/>
      <c r="G12" s="301">
        <f>ROUND(C12*VLOOKUP(A12,Data!$X$129:$AR$158,14,0)/100,0)</f>
        <v>0</v>
      </c>
      <c r="H12" s="295">
        <f>IF(AND(OR(Data!AE133=12,Data!AE133=14.5,Data!AE133=20),ROUND(C12*Data!AE133/100,0)&gt;=15000),15000,IF(AND(Data!AE133=30,ROUND(C12*Data!AE133/100,0)&gt;=20000),20000,ROUND(C12*Data!AE133/100,0)))</f>
        <v>8054</v>
      </c>
      <c r="I12" s="301">
        <f>Data!$AJ$104</f>
        <v>75</v>
      </c>
      <c r="J12" s="301">
        <f>Data!AN133</f>
        <v>0</v>
      </c>
      <c r="K12" s="301">
        <f>IF(Data!$AL$55=2,IF(ROUND(C12*10/100,0)&lt;=2000,ROUND(C12*10/100,0),2000),0)</f>
        <v>0</v>
      </c>
      <c r="L12" s="301"/>
      <c r="M12" s="301">
        <f t="shared" si="0"/>
        <v>48449</v>
      </c>
      <c r="N12" s="301">
        <f t="shared" si="1"/>
        <v>200</v>
      </c>
      <c r="O12" s="301">
        <f>IF(C12=0,0,Data!AB133)</f>
        <v>19050</v>
      </c>
      <c r="P12" s="301"/>
      <c r="Q12" s="301">
        <f t="shared" si="2"/>
        <v>50</v>
      </c>
      <c r="R12" s="301"/>
      <c r="S12" s="301">
        <f>ROUND(O12*LOOKUP(A12,Data!X133:X162,Data!AC133:AC162)/100,0)</f>
        <v>12067</v>
      </c>
      <c r="T12" s="301">
        <f t="shared" si="3"/>
        <v>0</v>
      </c>
      <c r="U12" s="295">
        <f>IF(AND(OR(Data!AE133=12,Data!AE133=14.5,Data!AE133=20),ROUND(Salary!O12*Data!AE133/100,0)&gt;=8000),8000,IF(AND(Data!AE133=30,ROUND(Salary!O12*Data!AE133/100,0)&gt;=12000),12000,ROUND(Salary!O12*Data!AE133/100,0)))</f>
        <v>3810</v>
      </c>
      <c r="V12" s="301">
        <f t="shared" si="4"/>
        <v>75</v>
      </c>
      <c r="W12" s="301">
        <f>Data!AH133</f>
        <v>0</v>
      </c>
      <c r="X12" s="301">
        <f>IF(Data!$AL$55=2,IF(ROUND(O12*10/100,0)&lt;=900,ROUND(O12*10/100,0),900),0)</f>
        <v>0</v>
      </c>
      <c r="Y12" s="301"/>
      <c r="Z12" s="302">
        <f t="shared" si="5"/>
        <v>35052</v>
      </c>
      <c r="AA12" s="301">
        <f t="shared" si="6"/>
        <v>200</v>
      </c>
      <c r="AB12" s="301">
        <f t="shared" si="7"/>
        <v>9153</v>
      </c>
      <c r="AC12" s="301">
        <f t="shared" si="8"/>
        <v>0</v>
      </c>
      <c r="AD12" s="301">
        <v>0</v>
      </c>
      <c r="AE12" s="301">
        <f t="shared" si="9"/>
        <v>0</v>
      </c>
      <c r="AF12" s="301">
        <f t="shared" si="10"/>
        <v>4244</v>
      </c>
      <c r="AG12" s="295">
        <f t="shared" si="15"/>
        <v>0</v>
      </c>
      <c r="AH12" s="301">
        <f t="shared" si="11"/>
        <v>0</v>
      </c>
      <c r="AI12" s="301">
        <f t="shared" si="12"/>
        <v>0</v>
      </c>
      <c r="AJ12" s="301">
        <f t="shared" si="13"/>
        <v>0</v>
      </c>
      <c r="AK12" s="301"/>
      <c r="AL12" s="302">
        <f t="shared" si="16"/>
        <v>13397</v>
      </c>
      <c r="AM12" s="301">
        <f t="shared" si="14"/>
        <v>0</v>
      </c>
      <c r="AN12" s="303">
        <f t="shared" si="17"/>
        <v>13397</v>
      </c>
      <c r="AO12" s="303"/>
      <c r="AP12" s="304"/>
    </row>
    <row r="13" spans="1:42" ht="15">
      <c r="A13" s="299">
        <v>6</v>
      </c>
      <c r="B13" s="300" t="str">
        <f>Data!Y134</f>
        <v>Dec-2013</v>
      </c>
      <c r="C13" s="301">
        <f>IF(A13&gt;=Data!$AC$53,Data!AJ134,0)</f>
        <v>40270</v>
      </c>
      <c r="D13" s="301"/>
      <c r="E13" s="301">
        <f>Data!$O$10</f>
        <v>50</v>
      </c>
      <c r="F13" s="301"/>
      <c r="G13" s="301">
        <f>ROUND(C13*VLOOKUP(A13,Data!$X$129:$AR$158,14,0)/100,0)</f>
        <v>0</v>
      </c>
      <c r="H13" s="295">
        <f>IF(AND(OR(Data!AE134=12,Data!AE134=14.5,Data!AE134=20),ROUND(C13*Data!AE134/100,0)&gt;=15000),15000,IF(AND(Data!AE134=30,ROUND(C13*Data!AE134/100,0)&gt;=20000),20000,ROUND(C13*Data!AE134/100,0)))</f>
        <v>8054</v>
      </c>
      <c r="I13" s="301">
        <f>Data!$AJ$104</f>
        <v>75</v>
      </c>
      <c r="J13" s="301">
        <f>Data!AN134</f>
        <v>0</v>
      </c>
      <c r="K13" s="301">
        <f>IF(Data!$AL$55=2,IF(ROUND(C13*10/100,0)&lt;=2000,ROUND(C13*10/100,0),2000),0)</f>
        <v>0</v>
      </c>
      <c r="L13" s="301"/>
      <c r="M13" s="301">
        <f t="shared" si="0"/>
        <v>48449</v>
      </c>
      <c r="N13" s="301">
        <f t="shared" si="1"/>
        <v>200</v>
      </c>
      <c r="O13" s="301">
        <f>IF(C13=0,0,Data!AB134)</f>
        <v>19050</v>
      </c>
      <c r="P13" s="301"/>
      <c r="Q13" s="301">
        <f t="shared" si="2"/>
        <v>50</v>
      </c>
      <c r="R13" s="301"/>
      <c r="S13" s="301">
        <f>ROUND(O13*LOOKUP(A13,Data!X134:X163,Data!AC134:AC163)/100,0)</f>
        <v>12067</v>
      </c>
      <c r="T13" s="301">
        <f t="shared" si="3"/>
        <v>0</v>
      </c>
      <c r="U13" s="295">
        <f>IF(AND(OR(Data!AE134=12,Data!AE134=14.5,Data!AE134=20),ROUND(Salary!O13*Data!AE134/100,0)&gt;=8000),8000,IF(AND(Data!AE134=30,ROUND(Salary!O13*Data!AE134/100,0)&gt;=12000),12000,ROUND(Salary!O13*Data!AE134/100,0)))</f>
        <v>3810</v>
      </c>
      <c r="V13" s="301">
        <f t="shared" si="4"/>
        <v>75</v>
      </c>
      <c r="W13" s="301">
        <f>Data!AH134</f>
        <v>0</v>
      </c>
      <c r="X13" s="301">
        <f>IF(Data!$AL$55=2,IF(ROUND(O13*10/100,0)&lt;=900,ROUND(O13*10/100,0),900),0)</f>
        <v>0</v>
      </c>
      <c r="Y13" s="301"/>
      <c r="Z13" s="302">
        <f t="shared" si="5"/>
        <v>35052</v>
      </c>
      <c r="AA13" s="301">
        <f t="shared" si="6"/>
        <v>200</v>
      </c>
      <c r="AB13" s="301">
        <f t="shared" si="7"/>
        <v>9153</v>
      </c>
      <c r="AC13" s="301">
        <f t="shared" si="8"/>
        <v>0</v>
      </c>
      <c r="AD13" s="301">
        <v>0</v>
      </c>
      <c r="AE13" s="301">
        <f t="shared" si="9"/>
        <v>0</v>
      </c>
      <c r="AF13" s="301">
        <f t="shared" si="10"/>
        <v>4244</v>
      </c>
      <c r="AG13" s="295">
        <f t="shared" si="15"/>
        <v>0</v>
      </c>
      <c r="AH13" s="301">
        <f t="shared" si="11"/>
        <v>0</v>
      </c>
      <c r="AI13" s="301">
        <f t="shared" si="12"/>
        <v>0</v>
      </c>
      <c r="AJ13" s="301">
        <f t="shared" si="13"/>
        <v>0</v>
      </c>
      <c r="AK13" s="301"/>
      <c r="AL13" s="302">
        <f t="shared" si="16"/>
        <v>13397</v>
      </c>
      <c r="AM13" s="301">
        <f t="shared" si="14"/>
        <v>0</v>
      </c>
      <c r="AN13" s="303">
        <f t="shared" si="17"/>
        <v>13397</v>
      </c>
      <c r="AO13" s="303"/>
      <c r="AP13" s="304"/>
    </row>
    <row r="14" spans="1:42" ht="15">
      <c r="A14" s="299">
        <v>7</v>
      </c>
      <c r="B14" s="300" t="str">
        <f>Data!Y135</f>
        <v>Jan-2014</v>
      </c>
      <c r="C14" s="301">
        <f>IF(A14&gt;=Data!$AC$53,Data!AJ135,0)</f>
        <v>40270</v>
      </c>
      <c r="D14" s="301"/>
      <c r="E14" s="301">
        <f>Data!$O$10</f>
        <v>50</v>
      </c>
      <c r="F14" s="301"/>
      <c r="G14" s="301">
        <f>ROUND(C14*VLOOKUP(A14,Data!$X$129:$AR$158,14,0)/100,0)</f>
        <v>2110</v>
      </c>
      <c r="H14" s="295">
        <f>IF(AND(OR(Data!AE135=12,Data!AE135=14.5,Data!AE135=20),ROUND(C14*Data!AE135/100,0)&gt;=15000),15000,IF(AND(Data!AE135=30,ROUND(C14*Data!AE135/100,0)&gt;=20000),20000,ROUND(C14*Data!AE135/100,0)))</f>
        <v>8054</v>
      </c>
      <c r="I14" s="301">
        <f>Data!$AJ$104</f>
        <v>75</v>
      </c>
      <c r="J14" s="301">
        <f>Data!AN135</f>
        <v>0</v>
      </c>
      <c r="K14" s="301">
        <f>IF(Data!$AL$55=2,IF(ROUND(C14*10/100,0)&lt;=2000,ROUND(C14*10/100,0),2000),0)</f>
        <v>0</v>
      </c>
      <c r="L14" s="301"/>
      <c r="M14" s="301">
        <f t="shared" si="0"/>
        <v>50559</v>
      </c>
      <c r="N14" s="301">
        <f t="shared" si="1"/>
        <v>200</v>
      </c>
      <c r="O14" s="301">
        <f>IF(C14=0,0,Data!AB135)</f>
        <v>19050</v>
      </c>
      <c r="P14" s="301"/>
      <c r="Q14" s="301">
        <f t="shared" si="2"/>
        <v>50</v>
      </c>
      <c r="R14" s="301"/>
      <c r="S14" s="301">
        <f>ROUND(O14*LOOKUP(A14,Data!$X$135:$X$164,Data!$AC$135:$AC$164)/100,0)</f>
        <v>13698</v>
      </c>
      <c r="T14" s="301">
        <f aca="true" t="shared" si="18" ref="T14:T19">ROUND(O14*27/100,0)</f>
        <v>5144</v>
      </c>
      <c r="U14" s="295">
        <f>IF(AND(OR(Data!AE135=12,Data!AE135=14.5,Data!AE135=20),ROUND(Salary!O14*Data!AE135/100,0)&gt;=8000),8000,IF(AND(Data!AE135=30,ROUND(Salary!O14*Data!AE135/100,0)&gt;=12000),12000,ROUND(Salary!O14*Data!AE135/100,0)))</f>
        <v>3810</v>
      </c>
      <c r="V14" s="301">
        <f t="shared" si="4"/>
        <v>75</v>
      </c>
      <c r="W14" s="301">
        <f>Data!AH135</f>
        <v>0</v>
      </c>
      <c r="X14" s="301">
        <f>IF(Data!$AL$55=2,IF(ROUND(O14*10/100,0)&lt;=900,ROUND(O14*10/100,0),900),0)</f>
        <v>0</v>
      </c>
      <c r="Y14" s="301"/>
      <c r="Z14" s="302">
        <f t="shared" si="5"/>
        <v>41827</v>
      </c>
      <c r="AA14" s="301">
        <f t="shared" si="6"/>
        <v>200</v>
      </c>
      <c r="AB14" s="301">
        <f t="shared" si="7"/>
        <v>2378</v>
      </c>
      <c r="AC14" s="301">
        <f t="shared" si="8"/>
        <v>0</v>
      </c>
      <c r="AD14" s="301">
        <v>0</v>
      </c>
      <c r="AE14" s="301">
        <f t="shared" si="9"/>
        <v>2110</v>
      </c>
      <c r="AF14" s="301">
        <f t="shared" si="10"/>
        <v>4244</v>
      </c>
      <c r="AG14" s="295">
        <f t="shared" si="15"/>
        <v>0</v>
      </c>
      <c r="AH14" s="301">
        <f t="shared" si="11"/>
        <v>0</v>
      </c>
      <c r="AI14" s="301">
        <f t="shared" si="12"/>
        <v>0</v>
      </c>
      <c r="AJ14" s="301">
        <f t="shared" si="13"/>
        <v>0</v>
      </c>
      <c r="AK14" s="301"/>
      <c r="AL14" s="302">
        <f t="shared" si="16"/>
        <v>8732</v>
      </c>
      <c r="AM14" s="301">
        <f t="shared" si="14"/>
        <v>0</v>
      </c>
      <c r="AN14" s="303">
        <f t="shared" si="17"/>
        <v>8732</v>
      </c>
      <c r="AO14" s="303"/>
      <c r="AP14" s="304"/>
    </row>
    <row r="15" spans="1:42" ht="15">
      <c r="A15" s="299">
        <v>8</v>
      </c>
      <c r="B15" s="300" t="str">
        <f>Data!Y136</f>
        <v>Feb-2014</v>
      </c>
      <c r="C15" s="301">
        <f>IF(A15&gt;=Data!$AC$53,Data!AJ136,0)</f>
        <v>40270</v>
      </c>
      <c r="D15" s="301"/>
      <c r="E15" s="301">
        <f>Data!$O$10</f>
        <v>50</v>
      </c>
      <c r="F15" s="301"/>
      <c r="G15" s="301">
        <f>ROUND(C15*VLOOKUP(A15,Data!$X$129:$AR$158,14,0)/100,0)</f>
        <v>2110</v>
      </c>
      <c r="H15" s="295">
        <f>IF(AND(OR(Data!AE136=12,Data!AE136=14.5,Data!AE136=20),ROUND(C15*Data!AE136/100,0)&gt;=15000),15000,IF(AND(Data!AE136=30,ROUND(C15*Data!AE136/100,0)&gt;=20000),20000,ROUND(C15*Data!AE136/100,0)))</f>
        <v>8054</v>
      </c>
      <c r="I15" s="301">
        <f>Data!$AJ$104</f>
        <v>75</v>
      </c>
      <c r="J15" s="301">
        <f>Data!AN136</f>
        <v>0</v>
      </c>
      <c r="K15" s="301">
        <f>IF(Data!$AL$55=2,IF(ROUND(C15*10/100,0)&lt;=2000,ROUND(C15*10/100,0),2000),0)</f>
        <v>0</v>
      </c>
      <c r="L15" s="301"/>
      <c r="M15" s="301">
        <f t="shared" si="0"/>
        <v>50559</v>
      </c>
      <c r="N15" s="301">
        <f t="shared" si="1"/>
        <v>200</v>
      </c>
      <c r="O15" s="301">
        <f>IF(C15=0,0,Data!AB136)</f>
        <v>19050</v>
      </c>
      <c r="P15" s="301"/>
      <c r="Q15" s="301">
        <f t="shared" si="2"/>
        <v>50</v>
      </c>
      <c r="R15" s="301"/>
      <c r="S15" s="301">
        <f>ROUND(O15*LOOKUP(A15,Data!$X$135:$X$164,Data!$AC$135:$AC$164)/100,0)</f>
        <v>13698</v>
      </c>
      <c r="T15" s="301">
        <f t="shared" si="18"/>
        <v>5144</v>
      </c>
      <c r="U15" s="295">
        <f>IF(AND(OR(Data!AE136=12,Data!AE136=14.5,Data!AE136=20),ROUND(Salary!O15*Data!AE136/100,0)&gt;=8000),8000,IF(AND(Data!AE136=30,ROUND(Salary!O15*Data!AE136/100,0)&gt;=12000),12000,ROUND(Salary!O15*Data!AE136/100,0)))</f>
        <v>3810</v>
      </c>
      <c r="V15" s="301">
        <f t="shared" si="4"/>
        <v>75</v>
      </c>
      <c r="W15" s="301">
        <f>Data!AH136</f>
        <v>0</v>
      </c>
      <c r="X15" s="301">
        <f>IF(Data!$AL$55=2,IF(ROUND(O15*10/100,0)&lt;=900,ROUND(O15*10/100,0),900),0)</f>
        <v>0</v>
      </c>
      <c r="Y15" s="301"/>
      <c r="Z15" s="302">
        <f t="shared" si="5"/>
        <v>41827</v>
      </c>
      <c r="AA15" s="301">
        <f t="shared" si="6"/>
        <v>200</v>
      </c>
      <c r="AB15" s="301">
        <f t="shared" si="7"/>
        <v>2378</v>
      </c>
      <c r="AC15" s="301">
        <f t="shared" si="8"/>
        <v>0</v>
      </c>
      <c r="AD15" s="301">
        <v>0</v>
      </c>
      <c r="AE15" s="301">
        <f t="shared" si="9"/>
        <v>2110</v>
      </c>
      <c r="AF15" s="301">
        <f t="shared" si="10"/>
        <v>4244</v>
      </c>
      <c r="AG15" s="295">
        <f t="shared" si="15"/>
        <v>0</v>
      </c>
      <c r="AH15" s="301">
        <f t="shared" si="11"/>
        <v>0</v>
      </c>
      <c r="AI15" s="301">
        <f t="shared" si="12"/>
        <v>0</v>
      </c>
      <c r="AJ15" s="301">
        <f t="shared" si="13"/>
        <v>0</v>
      </c>
      <c r="AK15" s="301"/>
      <c r="AL15" s="302">
        <f t="shared" si="16"/>
        <v>8732</v>
      </c>
      <c r="AM15" s="301">
        <f t="shared" si="14"/>
        <v>0</v>
      </c>
      <c r="AN15" s="303">
        <f t="shared" si="17"/>
        <v>8732</v>
      </c>
      <c r="AO15" s="303"/>
      <c r="AP15" s="304"/>
    </row>
    <row r="16" spans="1:42" ht="15">
      <c r="A16" s="299">
        <v>9</v>
      </c>
      <c r="B16" s="300" t="str">
        <f>Data!Y137</f>
        <v>Mar-2014</v>
      </c>
      <c r="C16" s="301">
        <f>IF(A16&gt;=Data!$AC$53,Data!AJ137,0)</f>
        <v>40270</v>
      </c>
      <c r="D16" s="301"/>
      <c r="E16" s="301">
        <f>Data!$O$10</f>
        <v>50</v>
      </c>
      <c r="F16" s="301"/>
      <c r="G16" s="301">
        <f>ROUND(C16*VLOOKUP(A16,Data!$X$129:$AR$158,14,0)/100,0)</f>
        <v>2110</v>
      </c>
      <c r="H16" s="295">
        <f>IF(AND(OR(Data!AE137=12,Data!AE137=14.5,Data!AE137=20),ROUND(C16*Data!AE137/100,0)&gt;=15000),15000,IF(AND(Data!AE137=30,ROUND(C16*Data!AE137/100,0)&gt;=20000),20000,ROUND(C16*Data!AE137/100,0)))</f>
        <v>8054</v>
      </c>
      <c r="I16" s="301">
        <f>Data!$AJ$104</f>
        <v>75</v>
      </c>
      <c r="J16" s="301">
        <f>Data!AN137</f>
        <v>0</v>
      </c>
      <c r="K16" s="301">
        <f>IF(Data!$AL$55=2,IF(ROUND(C16*10/100,0)&lt;=2000,ROUND(C16*10/100,0),2000),0)</f>
        <v>0</v>
      </c>
      <c r="L16" s="301"/>
      <c r="M16" s="301">
        <f t="shared" si="0"/>
        <v>50559</v>
      </c>
      <c r="N16" s="301">
        <f t="shared" si="1"/>
        <v>200</v>
      </c>
      <c r="O16" s="301">
        <f>IF(C16=0,0,Data!AB137)</f>
        <v>19050</v>
      </c>
      <c r="P16" s="301"/>
      <c r="Q16" s="301">
        <f t="shared" si="2"/>
        <v>50</v>
      </c>
      <c r="R16" s="301"/>
      <c r="S16" s="301">
        <f>ROUND(O16*LOOKUP(A16,Data!$X$135:$X$164,Data!$AC$135:$AC$164)/100,0)</f>
        <v>13698</v>
      </c>
      <c r="T16" s="301">
        <f t="shared" si="18"/>
        <v>5144</v>
      </c>
      <c r="U16" s="295">
        <f>IF(AND(OR(Data!AE137=12,Data!AE137=14.5,Data!AE137=20),ROUND(Salary!O16*Data!AE137/100,0)&gt;=8000),8000,IF(AND(Data!AE137=30,ROUND(Salary!O16*Data!AE137/100,0)&gt;=12000),12000,ROUND(Salary!O16*Data!AE137/100,0)))</f>
        <v>3810</v>
      </c>
      <c r="V16" s="301">
        <f t="shared" si="4"/>
        <v>75</v>
      </c>
      <c r="W16" s="301">
        <f>Data!AH137</f>
        <v>0</v>
      </c>
      <c r="X16" s="301">
        <f>IF(Data!$AL$55=2,IF(ROUND(O16*10/100,0)&lt;=900,ROUND(O16*10/100,0),900),0)</f>
        <v>0</v>
      </c>
      <c r="Y16" s="301"/>
      <c r="Z16" s="302">
        <f t="shared" si="5"/>
        <v>41827</v>
      </c>
      <c r="AA16" s="301">
        <f t="shared" si="6"/>
        <v>200</v>
      </c>
      <c r="AB16" s="301">
        <f t="shared" si="7"/>
        <v>2378</v>
      </c>
      <c r="AC16" s="301">
        <f t="shared" si="8"/>
        <v>0</v>
      </c>
      <c r="AD16" s="301">
        <v>0</v>
      </c>
      <c r="AE16" s="301">
        <f t="shared" si="9"/>
        <v>2110</v>
      </c>
      <c r="AF16" s="301">
        <f t="shared" si="10"/>
        <v>4244</v>
      </c>
      <c r="AG16" s="295">
        <f t="shared" si="15"/>
        <v>0</v>
      </c>
      <c r="AH16" s="301">
        <f t="shared" si="11"/>
        <v>0</v>
      </c>
      <c r="AI16" s="301">
        <f t="shared" si="12"/>
        <v>0</v>
      </c>
      <c r="AJ16" s="301">
        <f t="shared" si="13"/>
        <v>0</v>
      </c>
      <c r="AK16" s="301"/>
      <c r="AL16" s="302">
        <f t="shared" si="16"/>
        <v>8732</v>
      </c>
      <c r="AM16" s="301">
        <f t="shared" si="14"/>
        <v>0</v>
      </c>
      <c r="AN16" s="303">
        <f t="shared" si="17"/>
        <v>8732</v>
      </c>
      <c r="AO16" s="303"/>
      <c r="AP16" s="304"/>
    </row>
    <row r="17" spans="1:42" ht="15">
      <c r="A17" s="299">
        <v>10</v>
      </c>
      <c r="B17" s="300" t="str">
        <f>Data!Y138</f>
        <v>Apr-2014</v>
      </c>
      <c r="C17" s="301">
        <f>IF(A17&gt;=Data!$AC$53,Data!AJ138,0)</f>
        <v>40270</v>
      </c>
      <c r="D17" s="301"/>
      <c r="E17" s="301">
        <f>Data!$O$10</f>
        <v>50</v>
      </c>
      <c r="F17" s="301"/>
      <c r="G17" s="301">
        <f>ROUND(C17*VLOOKUP(A17,Data!$X$129:$AR$158,14,0)/100,0)</f>
        <v>2110</v>
      </c>
      <c r="H17" s="295">
        <f>IF(AND(OR(Data!AE138=12,Data!AE138=14.5,Data!AE138=20),ROUND(C17*Data!AE138/100,0)&gt;=15000),15000,IF(AND(Data!AE138=30,ROUND(C17*Data!AE138/100,0)&gt;=20000),20000,ROUND(C17*Data!AE138/100,0)))</f>
        <v>8054</v>
      </c>
      <c r="I17" s="301">
        <f>Data!$AJ$104</f>
        <v>75</v>
      </c>
      <c r="J17" s="301">
        <f>Data!AN138</f>
        <v>0</v>
      </c>
      <c r="K17" s="301">
        <f>IF(Data!$AL$55=2,IF(ROUND(C17*10/100,0)&lt;=2000,ROUND(C17*10/100,0),2000),0)</f>
        <v>0</v>
      </c>
      <c r="L17" s="301"/>
      <c r="M17" s="301">
        <f t="shared" si="0"/>
        <v>50559</v>
      </c>
      <c r="N17" s="301">
        <f t="shared" si="1"/>
        <v>200</v>
      </c>
      <c r="O17" s="301">
        <f>IF(C17=0,0,Data!AB138)</f>
        <v>19050</v>
      </c>
      <c r="P17" s="301"/>
      <c r="Q17" s="301">
        <f t="shared" si="2"/>
        <v>50</v>
      </c>
      <c r="R17" s="301"/>
      <c r="S17" s="301">
        <f>ROUND(O17*LOOKUP(A17,Data!$X$135:$X$164,Data!$AC$135:$AC$164)/100,0)</f>
        <v>13698</v>
      </c>
      <c r="T17" s="301">
        <f t="shared" si="18"/>
        <v>5144</v>
      </c>
      <c r="U17" s="295">
        <f>IF(AND(OR(Data!AE138=12,Data!AE138=14.5,Data!AE138=20),ROUND(Salary!O17*Data!AE138/100,0)&gt;=8000),8000,IF(AND(Data!AE138=30,ROUND(Salary!O17*Data!AE138/100,0)&gt;=12000),12000,ROUND(Salary!O17*Data!AE138/100,0)))</f>
        <v>3810</v>
      </c>
      <c r="V17" s="301">
        <f t="shared" si="4"/>
        <v>75</v>
      </c>
      <c r="W17" s="301">
        <f>Data!AH138</f>
        <v>0</v>
      </c>
      <c r="X17" s="301">
        <f>IF(Data!$AL$55=2,IF(ROUND(O17*10/100,0)&lt;=900,ROUND(O17*10/100,0),900),0)</f>
        <v>0</v>
      </c>
      <c r="Y17" s="301"/>
      <c r="Z17" s="302">
        <f t="shared" si="5"/>
        <v>41827</v>
      </c>
      <c r="AA17" s="301">
        <f t="shared" si="6"/>
        <v>200</v>
      </c>
      <c r="AB17" s="301">
        <f t="shared" si="7"/>
        <v>2378</v>
      </c>
      <c r="AC17" s="301">
        <f t="shared" si="8"/>
        <v>0</v>
      </c>
      <c r="AD17" s="301">
        <v>0</v>
      </c>
      <c r="AE17" s="301">
        <f t="shared" si="9"/>
        <v>2110</v>
      </c>
      <c r="AF17" s="301">
        <f t="shared" si="10"/>
        <v>4244</v>
      </c>
      <c r="AG17" s="295">
        <f t="shared" si="15"/>
        <v>0</v>
      </c>
      <c r="AH17" s="301">
        <f t="shared" si="11"/>
        <v>0</v>
      </c>
      <c r="AI17" s="301">
        <f t="shared" si="12"/>
        <v>0</v>
      </c>
      <c r="AJ17" s="301">
        <f t="shared" si="13"/>
        <v>0</v>
      </c>
      <c r="AK17" s="301"/>
      <c r="AL17" s="302">
        <f t="shared" si="16"/>
        <v>8732</v>
      </c>
      <c r="AM17" s="301">
        <f t="shared" si="14"/>
        <v>0</v>
      </c>
      <c r="AN17" s="303">
        <f t="shared" si="17"/>
        <v>8732</v>
      </c>
      <c r="AO17" s="303"/>
      <c r="AP17" s="304"/>
    </row>
    <row r="18" spans="1:42" ht="15.75" customHeight="1">
      <c r="A18" s="260">
        <v>11</v>
      </c>
      <c r="B18" s="234" t="str">
        <f>Data!Y139</f>
        <v>May-2014</v>
      </c>
      <c r="C18" s="233">
        <f>IF(A18&gt;=Data!$AC$53,Data!AJ139,0)</f>
        <v>40270</v>
      </c>
      <c r="D18" s="233"/>
      <c r="E18" s="233">
        <f>Data!$O$10</f>
        <v>50</v>
      </c>
      <c r="F18" s="233"/>
      <c r="G18" s="233">
        <f>ROUND(C18*VLOOKUP(A18,Data!$X$129:$AR$158,14,0)/100,0)</f>
        <v>2110</v>
      </c>
      <c r="H18" s="295">
        <f>IF(AND(OR(Data!AE139=12,Data!AE139=14.5,Data!AE139=20),ROUND(C18*Data!AE139/100,0)&gt;=15000),15000,IF(AND(Data!AE139=30,ROUND(C18*Data!AE139/100,0)&gt;=20000),20000,ROUND(C18*Data!AE139/100,0)))</f>
        <v>8054</v>
      </c>
      <c r="I18" s="301">
        <f>Data!$AJ$104</f>
        <v>75</v>
      </c>
      <c r="J18" s="301">
        <f>Data!AN139</f>
        <v>0</v>
      </c>
      <c r="K18" s="301">
        <f>IF(Data!$AL$55=2,IF(ROUND(C18*10/100,0)&lt;=2000,ROUND(C18*10/100,0),2000),0)</f>
        <v>0</v>
      </c>
      <c r="L18" s="301"/>
      <c r="M18" s="301">
        <f t="shared" si="0"/>
        <v>50559</v>
      </c>
      <c r="N18" s="301">
        <f t="shared" si="1"/>
        <v>200</v>
      </c>
      <c r="O18" s="301">
        <f>IF(C18=0,0,Data!AB139)</f>
        <v>19050</v>
      </c>
      <c r="P18" s="301"/>
      <c r="Q18" s="301">
        <f t="shared" si="2"/>
        <v>50</v>
      </c>
      <c r="R18" s="301"/>
      <c r="S18" s="301">
        <f>ROUND(O18*LOOKUP(A18,Data!$X$135:$X$164,Data!$AC$135:$AC$164)/100,0)</f>
        <v>13698</v>
      </c>
      <c r="T18" s="301">
        <f t="shared" si="18"/>
        <v>5144</v>
      </c>
      <c r="U18" s="295">
        <f>IF(AND(OR(Data!AE139=12,Data!AE139=14.5,Data!AE139=20),ROUND(Salary!O18*Data!AE139/100,0)&gt;=8000),8000,IF(AND(Data!AE139=30,ROUND(Salary!O18*Data!AE139/100,0)&gt;=12000),12000,ROUND(Salary!O18*Data!AE139/100,0)))</f>
        <v>3810</v>
      </c>
      <c r="V18" s="301">
        <f t="shared" si="4"/>
        <v>75</v>
      </c>
      <c r="W18" s="301">
        <f>Data!AH139</f>
        <v>0</v>
      </c>
      <c r="X18" s="301">
        <f>IF(Data!$AL$55=2,IF(ROUND(O18*10/100,0)&lt;=900,ROUND(O18*10/100,0),900),0)</f>
        <v>0</v>
      </c>
      <c r="Y18" s="301"/>
      <c r="Z18" s="302">
        <f t="shared" si="5"/>
        <v>41827</v>
      </c>
      <c r="AA18" s="301">
        <f t="shared" si="6"/>
        <v>200</v>
      </c>
      <c r="AB18" s="301">
        <f t="shared" si="7"/>
        <v>2378</v>
      </c>
      <c r="AC18" s="301">
        <f t="shared" si="8"/>
        <v>0</v>
      </c>
      <c r="AD18" s="301">
        <v>0</v>
      </c>
      <c r="AE18" s="301">
        <f t="shared" si="9"/>
        <v>2110</v>
      </c>
      <c r="AF18" s="301">
        <f t="shared" si="10"/>
        <v>4244</v>
      </c>
      <c r="AG18" s="295">
        <f t="shared" si="15"/>
        <v>0</v>
      </c>
      <c r="AH18" s="301">
        <f t="shared" si="11"/>
        <v>0</v>
      </c>
      <c r="AI18" s="301">
        <f t="shared" si="12"/>
        <v>0</v>
      </c>
      <c r="AJ18" s="301">
        <f t="shared" si="13"/>
        <v>0</v>
      </c>
      <c r="AK18" s="301"/>
      <c r="AL18" s="302">
        <f t="shared" si="16"/>
        <v>8732</v>
      </c>
      <c r="AM18" s="301">
        <f t="shared" si="14"/>
        <v>0</v>
      </c>
      <c r="AN18" s="303">
        <f t="shared" si="17"/>
        <v>8732</v>
      </c>
      <c r="AO18" s="303"/>
      <c r="AP18" s="304"/>
    </row>
    <row r="19" spans="1:42" ht="15">
      <c r="A19" s="263">
        <v>12</v>
      </c>
      <c r="B19" s="234" t="s">
        <v>152</v>
      </c>
      <c r="C19" s="233">
        <f>ROUND(Data!AJ140*1/30,0)</f>
        <v>1342</v>
      </c>
      <c r="D19" s="233"/>
      <c r="E19" s="233">
        <v>0</v>
      </c>
      <c r="F19" s="233"/>
      <c r="G19" s="233">
        <f>ROUND(C19*LOOKUP(A19,Data!X140:X169,Data!AK140:AK169)/100,0)</f>
        <v>70</v>
      </c>
      <c r="H19" s="295">
        <f>IF(AND(OR(Data!AE140=12,Data!AE140=14.5,Data!AE140=20),ROUND(C19*Data!AE140/100,0)&gt;=15000),15000,IF(AND(Data!AE140=30,ROUND(C19*Data!AE140/100,0)&gt;=20000),20000,ROUND(C19*Data!AE140/100,0)))</f>
        <v>268</v>
      </c>
      <c r="I19" s="301">
        <v>0</v>
      </c>
      <c r="J19" s="301">
        <v>0</v>
      </c>
      <c r="K19" s="301">
        <v>0</v>
      </c>
      <c r="L19" s="301"/>
      <c r="M19" s="301">
        <f t="shared" si="0"/>
        <v>1680</v>
      </c>
      <c r="N19" s="301"/>
      <c r="O19" s="301">
        <f>ROUND(Data!AB140*1/30,0)</f>
        <v>635</v>
      </c>
      <c r="P19" s="301"/>
      <c r="Q19" s="301"/>
      <c r="R19" s="301"/>
      <c r="S19" s="301">
        <f>ROUND(O19*LOOKUP(A19,Data!$X$135:$X$164,Data!$AC$135:$AC$164)/100,0)</f>
        <v>457</v>
      </c>
      <c r="T19" s="301">
        <f t="shared" si="18"/>
        <v>171</v>
      </c>
      <c r="U19" s="295">
        <f>IF(AND(OR(Data!AE140=12,Data!AE140=14.5,Data!AE140=20),ROUND(Salary!O19*Data!AE140/100,0)&gt;=8000),8000,IF(AND(Data!AE140=30,ROUND(Salary!O19*Data!AE140/100,0)&gt;=12000),12000,ROUND(Salary!O19*Data!AE140/100,0)))</f>
        <v>127</v>
      </c>
      <c r="V19" s="301"/>
      <c r="W19" s="301"/>
      <c r="X19" s="301"/>
      <c r="Y19" s="301"/>
      <c r="Z19" s="302">
        <f t="shared" si="5"/>
        <v>1390</v>
      </c>
      <c r="AA19" s="301"/>
      <c r="AB19" s="301">
        <f t="shared" si="7"/>
        <v>79</v>
      </c>
      <c r="AC19" s="301"/>
      <c r="AD19" s="301"/>
      <c r="AE19" s="301">
        <f t="shared" si="9"/>
        <v>70</v>
      </c>
      <c r="AF19" s="301">
        <f t="shared" si="10"/>
        <v>141</v>
      </c>
      <c r="AG19" s="301">
        <v>0</v>
      </c>
      <c r="AH19" s="301">
        <v>0</v>
      </c>
      <c r="AI19" s="301">
        <v>0</v>
      </c>
      <c r="AJ19" s="301">
        <f>L19-Y19</f>
        <v>0</v>
      </c>
      <c r="AK19" s="301"/>
      <c r="AL19" s="302">
        <f>SUM(AB19:AJ19)</f>
        <v>290</v>
      </c>
      <c r="AM19" s="301">
        <v>0</v>
      </c>
      <c r="AN19" s="303">
        <f t="shared" si="17"/>
        <v>290</v>
      </c>
      <c r="AO19" s="303"/>
      <c r="AP19" s="304"/>
    </row>
    <row r="20" spans="1:42" ht="15" hidden="1">
      <c r="A20" s="523">
        <f>IF(C20&lt;&gt;"","AAS("&amp;Data!AD167&amp;")","")</f>
      </c>
      <c r="B20" s="524"/>
      <c r="C20" s="233">
        <f>IF(Data!$X$167&lt;13,Data!$AM$168,"")</f>
      </c>
      <c r="D20" s="233"/>
      <c r="E20" s="233"/>
      <c r="F20" s="233"/>
      <c r="G20" s="233">
        <f>IF(Data!X167&lt;12,Data!AN168,"")</f>
      </c>
      <c r="H20" s="233">
        <f>IF(Data!X167&lt;12,Data!AO168,"")</f>
      </c>
      <c r="I20" s="233"/>
      <c r="J20" s="233"/>
      <c r="K20" s="233"/>
      <c r="L20" s="233"/>
      <c r="M20" s="233">
        <f>IF(C20&lt;&gt;"",SUM(C20:L20),"")</f>
      </c>
      <c r="N20" s="233"/>
      <c r="O20" s="233">
        <f>IF(AND(C20&lt;&gt;"",C20&gt;0),Data!AF168,"")</f>
      </c>
      <c r="P20" s="233"/>
      <c r="Q20" s="233"/>
      <c r="R20" s="233"/>
      <c r="S20" s="233">
        <f>IF(AND(C20&lt;&gt;"",C20&gt;0),Data!AG168,"")</f>
      </c>
      <c r="T20" s="233">
        <f>IF(AND(C20&lt;&gt;"",C20&gt;0),Data!AI168,"")</f>
      </c>
      <c r="U20" s="233">
        <f>IF(AND(C20&lt;&gt;"",C20&gt;0),Data!AH168,"")</f>
      </c>
      <c r="V20" s="233"/>
      <c r="W20" s="233"/>
      <c r="X20" s="233"/>
      <c r="Y20" s="233"/>
      <c r="Z20" s="235">
        <f>IF(SUM(O20:Y20)=0,"",SUM(O20:Y20))</f>
      </c>
      <c r="AA20" s="233"/>
      <c r="AB20" s="233">
        <f>IF(ISERROR(C20-O20-S20-T20),"",C20-O20-S20-T20)</f>
      </c>
      <c r="AC20" s="233"/>
      <c r="AD20" s="233"/>
      <c r="AE20" s="233">
        <f t="shared" si="9"/>
      </c>
      <c r="AF20" s="233">
        <f>IF(ISERROR(H20-U20),"",H20-U20)</f>
      </c>
      <c r="AG20" s="233"/>
      <c r="AH20" s="233"/>
      <c r="AI20" s="233"/>
      <c r="AJ20" s="233"/>
      <c r="AK20" s="233"/>
      <c r="AL20" s="235">
        <f>IF(SUM(AB20:AJ20)=0,"",SUM(AB20:AJ20))</f>
      </c>
      <c r="AM20" s="233"/>
      <c r="AN20" s="261">
        <f t="shared" si="17"/>
      </c>
      <c r="AO20" s="261"/>
      <c r="AP20" s="262"/>
    </row>
    <row r="21" spans="1:42" ht="15" hidden="1">
      <c r="A21" s="532">
        <f>IF(C21="","","Promo Arrs"&amp;Data!$AD$172)</f>
      </c>
      <c r="B21" s="533"/>
      <c r="C21" s="233">
        <f>IF(Data!$X$172&lt;13,Data!$AM$173,"")</f>
      </c>
      <c r="D21" s="233"/>
      <c r="E21" s="233"/>
      <c r="F21" s="233"/>
      <c r="G21" s="233">
        <f>IF(Data!$X$172&lt;13,Data!$AN$173,"")</f>
      </c>
      <c r="H21" s="233">
        <f>IF(Data!$X$172&lt;13,Data!$AO$173,"")</f>
      </c>
      <c r="I21" s="233"/>
      <c r="J21" s="233"/>
      <c r="K21" s="233"/>
      <c r="L21" s="233"/>
      <c r="M21" s="233">
        <f>IF(C21&lt;&gt;"",SUM(C21:L21),"")</f>
      </c>
      <c r="N21" s="233"/>
      <c r="O21" s="233">
        <f>IF(AND(C21&lt;&gt;"",C21&gt;0),Data!AF173,"")</f>
      </c>
      <c r="P21" s="233"/>
      <c r="Q21" s="233"/>
      <c r="R21" s="233"/>
      <c r="S21" s="233">
        <f>IF(AND(C21&lt;&gt;"",C21&gt;0),Data!AG173,"")</f>
      </c>
      <c r="T21" s="233">
        <f>IF(AND(C21&lt;&gt;"",C21&gt;0),Data!AI173,"")</f>
      </c>
      <c r="U21" s="233">
        <f>IF(AND(C21&lt;&gt;"",C21&gt;0),Data!AH173,"")</f>
      </c>
      <c r="V21" s="233"/>
      <c r="W21" s="233"/>
      <c r="X21" s="233"/>
      <c r="Y21" s="233"/>
      <c r="Z21" s="235">
        <f>IF(SUM(O21:Y21)=0,"",SUM(O21:Y21))</f>
      </c>
      <c r="AA21" s="233"/>
      <c r="AB21" s="233">
        <f>IF(ISERROR(C21-O21-S21-T21),"",C21-O21-S21-T21)</f>
      </c>
      <c r="AC21" s="233"/>
      <c r="AD21" s="233"/>
      <c r="AE21" s="233">
        <f t="shared" si="9"/>
      </c>
      <c r="AF21" s="233">
        <f>IF(ISERROR(H21-U21),"",H21-U21)</f>
      </c>
      <c r="AG21" s="233"/>
      <c r="AH21" s="233"/>
      <c r="AI21" s="233"/>
      <c r="AJ21" s="233"/>
      <c r="AK21" s="233"/>
      <c r="AL21" s="235">
        <f>IF(SUM(AB21:AJ21)=0,"",SUM(AB21:AJ21))</f>
      </c>
      <c r="AM21" s="233"/>
      <c r="AN21" s="261">
        <f t="shared" si="17"/>
      </c>
      <c r="AO21" s="261"/>
      <c r="AP21" s="262"/>
    </row>
    <row r="22" spans="1:42" ht="15" hidden="1">
      <c r="A22" s="534">
        <f>IF(C22="","","SL("&amp;Data!$AK$183&amp;Data!$V$183&amp;")")</f>
      </c>
      <c r="B22" s="535"/>
      <c r="C22" s="264">
        <f>IF(Data!T183&lt;13,Data!AG183,"")</f>
      </c>
      <c r="D22" s="264"/>
      <c r="E22" s="264"/>
      <c r="F22" s="264"/>
      <c r="G22" s="264">
        <f>IF(Data!$T$183&lt;13,Data!AH183,"")</f>
      </c>
      <c r="H22" s="264">
        <f>IF(Data!$T$183&lt;13,Data!AI183,"")</f>
      </c>
      <c r="I22" s="264"/>
      <c r="J22" s="264"/>
      <c r="K22" s="264"/>
      <c r="L22" s="264"/>
      <c r="M22" s="264">
        <f>IF(C22&lt;&gt;"",SUM(C22:L22),"")</f>
      </c>
      <c r="N22" s="264"/>
      <c r="O22" s="264">
        <f>IF(AND(C22&lt;&gt;"",C22&gt;0),Data!X183,"")</f>
      </c>
      <c r="P22" s="264"/>
      <c r="Q22" s="264"/>
      <c r="R22" s="264"/>
      <c r="S22" s="264">
        <f>IF(AND(C22&lt;&gt;"",C22&gt;0),Data!Y183,"")</f>
      </c>
      <c r="T22" s="264">
        <f>IF(AND(C22&lt;&gt;"",C22&gt;0),Data!AA183,"")</f>
      </c>
      <c r="U22" s="264">
        <f>IF(AND(C22&lt;&gt;"",C22&gt;0),Data!Z183,"")</f>
      </c>
      <c r="V22" s="264"/>
      <c r="W22" s="264"/>
      <c r="X22" s="264"/>
      <c r="Y22" s="264"/>
      <c r="Z22" s="236">
        <f>IF(SUM(O22:Y22)=0,"",SUM(O22:Y22))</f>
      </c>
      <c r="AA22" s="264"/>
      <c r="AB22" s="264">
        <f>IF(ISERROR(C22-O22-S22-T22),"",C22-O22-S22-T22)</f>
      </c>
      <c r="AC22" s="264"/>
      <c r="AD22" s="264"/>
      <c r="AE22" s="264">
        <f t="shared" si="9"/>
      </c>
      <c r="AF22" s="264">
        <f>IF(ISERROR(H22-U22),"",H22-U22)</f>
      </c>
      <c r="AG22" s="264"/>
      <c r="AH22" s="264"/>
      <c r="AI22" s="264"/>
      <c r="AJ22" s="264"/>
      <c r="AK22" s="264"/>
      <c r="AL22" s="236">
        <f>IF(SUM(AB22:AJ22)=0,"",SUM(AB22:AJ22))</f>
      </c>
      <c r="AM22" s="264"/>
      <c r="AN22" s="265">
        <f t="shared" si="17"/>
      </c>
      <c r="AO22" s="265"/>
      <c r="AP22" s="266"/>
    </row>
    <row r="23" spans="1:42" ht="15">
      <c r="A23" s="539" t="s">
        <v>694</v>
      </c>
      <c r="B23" s="540"/>
      <c r="C23" s="305">
        <f>SUM(C8:C19)</f>
        <v>439872</v>
      </c>
      <c r="D23" s="305">
        <f aca="true" t="shared" si="19" ref="D23:AA23">SUM(D8:D19)</f>
        <v>0</v>
      </c>
      <c r="E23" s="305">
        <f t="shared" si="19"/>
        <v>585</v>
      </c>
      <c r="F23" s="305"/>
      <c r="G23" s="305">
        <f t="shared" si="19"/>
        <v>10620</v>
      </c>
      <c r="H23" s="305">
        <f t="shared" si="19"/>
        <v>87974</v>
      </c>
      <c r="I23" s="305">
        <f t="shared" si="19"/>
        <v>825</v>
      </c>
      <c r="J23" s="305">
        <f t="shared" si="19"/>
        <v>0</v>
      </c>
      <c r="K23" s="305">
        <f t="shared" si="19"/>
        <v>0</v>
      </c>
      <c r="L23" s="305">
        <f t="shared" si="19"/>
        <v>0</v>
      </c>
      <c r="M23" s="305">
        <f t="shared" si="19"/>
        <v>539876</v>
      </c>
      <c r="N23" s="305">
        <f t="shared" si="19"/>
        <v>2200</v>
      </c>
      <c r="O23" s="305">
        <f t="shared" si="19"/>
        <v>208065</v>
      </c>
      <c r="P23" s="305">
        <f t="shared" si="19"/>
        <v>0</v>
      </c>
      <c r="Q23" s="305">
        <f t="shared" si="19"/>
        <v>585</v>
      </c>
      <c r="R23" s="305"/>
      <c r="S23" s="305">
        <f t="shared" si="19"/>
        <v>140005</v>
      </c>
      <c r="T23" s="305">
        <f t="shared" si="19"/>
        <v>25891</v>
      </c>
      <c r="U23" s="305">
        <f t="shared" si="19"/>
        <v>41613</v>
      </c>
      <c r="V23" s="305">
        <f t="shared" si="19"/>
        <v>825</v>
      </c>
      <c r="W23" s="305">
        <f t="shared" si="19"/>
        <v>0</v>
      </c>
      <c r="X23" s="305">
        <f t="shared" si="19"/>
        <v>0</v>
      </c>
      <c r="Y23" s="305">
        <f t="shared" si="19"/>
        <v>0</v>
      </c>
      <c r="Z23" s="305">
        <f t="shared" si="19"/>
        <v>416984</v>
      </c>
      <c r="AA23" s="305">
        <f t="shared" si="19"/>
        <v>2200</v>
      </c>
      <c r="AB23" s="306">
        <f>SUM(AB8:AB22)</f>
        <v>65911</v>
      </c>
      <c r="AC23" s="306">
        <f aca="true" t="shared" si="20" ref="AC23:AM23">SUM(AC8:AC22)</f>
        <v>0</v>
      </c>
      <c r="AD23" s="306"/>
      <c r="AE23" s="306">
        <f t="shared" si="20"/>
        <v>10620</v>
      </c>
      <c r="AF23" s="306">
        <f t="shared" si="20"/>
        <v>46361</v>
      </c>
      <c r="AG23" s="306">
        <f t="shared" si="20"/>
        <v>0</v>
      </c>
      <c r="AH23" s="306">
        <f t="shared" si="20"/>
        <v>0</v>
      </c>
      <c r="AI23" s="306">
        <f t="shared" si="20"/>
        <v>0</v>
      </c>
      <c r="AJ23" s="306">
        <f t="shared" si="20"/>
        <v>0</v>
      </c>
      <c r="AK23" s="306">
        <f t="shared" si="20"/>
        <v>0</v>
      </c>
      <c r="AL23" s="306">
        <f>SUM(AL8:AL22)</f>
        <v>122892</v>
      </c>
      <c r="AM23" s="306">
        <f t="shared" si="20"/>
        <v>0</v>
      </c>
      <c r="AN23" s="307">
        <f t="shared" si="17"/>
        <v>122892</v>
      </c>
      <c r="AO23" s="307"/>
      <c r="AP23" s="307"/>
    </row>
    <row r="24" spans="1:42" ht="15">
      <c r="A24" s="529" t="s">
        <v>625</v>
      </c>
      <c r="B24" s="529"/>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231"/>
      <c r="AO24" s="231"/>
      <c r="AP24" s="231"/>
    </row>
    <row r="25" spans="1:42" ht="15">
      <c r="A25" s="259">
        <v>12</v>
      </c>
      <c r="B25" s="232" t="s">
        <v>153</v>
      </c>
      <c r="C25" s="295">
        <f>ROUND(Data!AJ140*29/30,0)</f>
        <v>38928</v>
      </c>
      <c r="D25" s="295"/>
      <c r="E25" s="295">
        <f>Data!$O$10</f>
        <v>50</v>
      </c>
      <c r="F25" s="295"/>
      <c r="G25" s="295">
        <f>ROUND(C25*VLOOKUP(A25,Data!$X$129:$AR$158,14,0)/100,0)</f>
        <v>2040</v>
      </c>
      <c r="H25" s="295">
        <f>IF(AND(OR(Data!AE139=12,Data!AE139=14.5,Data!AE139=20),ROUND(C25*Data!AE140/100,0)&gt;=15000),15000,IF(AND(Data!AE139=30,ROUND(C25*Data!AE140/100,0)&gt;=20000),20000,ROUND(C25*Data!AE140/100,0)))</f>
        <v>7786</v>
      </c>
      <c r="I25" s="295">
        <f>IF(I18=0,0,IF(I18=50,100,IF(I18=75,125,IF(I18=100,150,0))))</f>
        <v>125</v>
      </c>
      <c r="J25" s="295">
        <f>Data!AN140</f>
        <v>0</v>
      </c>
      <c r="K25" s="295">
        <f>IF(Data!$AL$55=2,IF(ROUND(C25*10/100,0)&lt;=2000,ROUND(C25*10/100,0),2000),0)</f>
        <v>0</v>
      </c>
      <c r="L25" s="295"/>
      <c r="M25" s="295">
        <f aca="true" t="shared" si="21" ref="M25:M33">SUM(C25:L25)</f>
        <v>48929</v>
      </c>
      <c r="N25" s="295">
        <f aca="true" t="shared" si="22" ref="N25:N40">IF(M25&gt;20000,200,IF(M25&gt;15000,150,IF(M25&gt;10000,100,80)))</f>
        <v>200</v>
      </c>
      <c r="O25" s="295">
        <f>ROUND(Data!AB140*29/30,0)</f>
        <v>18415</v>
      </c>
      <c r="P25" s="295"/>
      <c r="Q25" s="295">
        <f aca="true" t="shared" si="23" ref="Q25:Q33">E25</f>
        <v>50</v>
      </c>
      <c r="R25" s="295"/>
      <c r="S25" s="295">
        <f>ROUND(O25*LOOKUP(A25,Data!$X$135:$X$164,Data!$AC$135:$AC$164)/100,0)</f>
        <v>13241</v>
      </c>
      <c r="T25" s="295">
        <f aca="true" t="shared" si="24" ref="T25:T33">ROUND(O25*27/100,0)</f>
        <v>4972</v>
      </c>
      <c r="U25" s="295">
        <f>IF(AND(OR(Data!AE140=12,Data!AE140=14.5,Data!AE140=20),ROUND(Salary!O25*Data!AE140/100,0)&gt;=8000),8000,IF(AND(Data!AE140=30,ROUND(Salary!O25*Data!AE140/100,0)&gt;=12000),12000,ROUND(Salary!O25*Data!AE140/100,0)))</f>
        <v>3683</v>
      </c>
      <c r="V25" s="295">
        <f>V18</f>
        <v>75</v>
      </c>
      <c r="W25" s="295">
        <f>Data!AH140</f>
        <v>0</v>
      </c>
      <c r="X25" s="295">
        <f>IF(Data!$AL$55=2,IF(ROUND(O25*10/100,0)&lt;=900,ROUND(O25*10/100,0),900),0)</f>
        <v>0</v>
      </c>
      <c r="Y25" s="295"/>
      <c r="Z25" s="296">
        <f aca="true" t="shared" si="25" ref="Z25:Z33">SUM(O25:Y25)</f>
        <v>40436</v>
      </c>
      <c r="AA25" s="295">
        <f aca="true" t="shared" si="26" ref="AA25:AA40">IF(Z25&gt;20000,200,IF(Z25&gt;15000,150,IF(Z25&gt;10000,100,80)))</f>
        <v>200</v>
      </c>
      <c r="AB25" s="295">
        <f aca="true" t="shared" si="27" ref="AB25:AB33">C25-O25-S25-T25</f>
        <v>2300</v>
      </c>
      <c r="AC25" s="295">
        <f aca="true" t="shared" si="28" ref="AC25:AC33">D25-P25</f>
        <v>0</v>
      </c>
      <c r="AD25" s="295">
        <v>0</v>
      </c>
      <c r="AE25" s="295">
        <f aca="true" t="shared" si="29" ref="AE25:AE36">G25</f>
        <v>2040</v>
      </c>
      <c r="AF25" s="295">
        <f aca="true" t="shared" si="30" ref="AF25:AF33">H25-U25</f>
        <v>4103</v>
      </c>
      <c r="AG25" s="295">
        <f aca="true" t="shared" si="31" ref="AG25:AG33">I25-V25</f>
        <v>50</v>
      </c>
      <c r="AH25" s="295">
        <f aca="true" t="shared" si="32" ref="AH25:AH33">J25-W25</f>
        <v>0</v>
      </c>
      <c r="AI25" s="295">
        <f aca="true" t="shared" si="33" ref="AI25:AI33">K25-X25</f>
        <v>0</v>
      </c>
      <c r="AJ25" s="295">
        <f aca="true" t="shared" si="34" ref="AJ25:AJ33">L25-Y25</f>
        <v>0</v>
      </c>
      <c r="AK25" s="295"/>
      <c r="AL25" s="296">
        <f t="shared" si="16"/>
        <v>8493</v>
      </c>
      <c r="AM25" s="295">
        <f aca="true" t="shared" si="35" ref="AM25:AM33">N25-AA25</f>
        <v>0</v>
      </c>
      <c r="AN25" s="297">
        <f aca="true" t="shared" si="36" ref="AN25:AN45">IF(ISERROR(AL25-AM25),"",AL25-AM25)</f>
        <v>8493</v>
      </c>
      <c r="AO25" s="297">
        <f>IF(ISERROR(IF(OR(Data!$Z$111=1,Data!$Z$111=2,Data!$Z$111=4),Salary!AN25,ROUND((C25+G25)*10%,0)-ROUND((O25+S25)*10%,0))),"",IF(OR(Data!$Z$111=1,Data!$Z$111=2,Data!$Z$111=4),Salary!AN25,ROUND((C25+G25)*10%,0)-ROUND((O25+S25)*10%,0)))</f>
        <v>931</v>
      </c>
      <c r="AP25" s="298">
        <f>IF(ISERROR(AN25-AO25),"",AN25-AO25)</f>
        <v>7562</v>
      </c>
    </row>
    <row r="26" spans="1:42" ht="15">
      <c r="A26" s="260">
        <v>13</v>
      </c>
      <c r="B26" s="234" t="str">
        <f>Data!Y141</f>
        <v>Jul-2014</v>
      </c>
      <c r="C26" s="301">
        <f>Data!AJ141</f>
        <v>40270</v>
      </c>
      <c r="D26" s="301"/>
      <c r="E26" s="301">
        <f>Data!$O$10</f>
        <v>50</v>
      </c>
      <c r="F26" s="301"/>
      <c r="G26" s="301">
        <f>ROUND(C26*VLOOKUP(A26,Data!$X$129:$AR$158,14,0)/100,0)</f>
        <v>3587</v>
      </c>
      <c r="H26" s="295">
        <f>IF(AND(OR(Data!AE140=12,Data!AE140=14.5,Data!AE140=20),ROUND(C26*Data!AE141/100,0)&gt;=15000),15000,IF(AND(Data!AE140=30,ROUND(C26*Data!AE141/100,0)&gt;=20000),20000,ROUND(C26*Data!AE141/100,0)))</f>
        <v>8054</v>
      </c>
      <c r="I26" s="301">
        <f>I25</f>
        <v>125</v>
      </c>
      <c r="J26" s="301">
        <f>Data!AN141</f>
        <v>0</v>
      </c>
      <c r="K26" s="301">
        <f>IF(Data!$AL$55=2,IF(ROUND(C26*10/100,0)&lt;=2000,ROUND(C26*10/100,0),2000),0)</f>
        <v>0</v>
      </c>
      <c r="L26" s="301"/>
      <c r="M26" s="301">
        <f t="shared" si="21"/>
        <v>52086</v>
      </c>
      <c r="N26" s="301">
        <f t="shared" si="22"/>
        <v>200</v>
      </c>
      <c r="O26" s="301">
        <f>Data!AB141</f>
        <v>19050</v>
      </c>
      <c r="P26" s="301"/>
      <c r="Q26" s="301">
        <f t="shared" si="23"/>
        <v>50</v>
      </c>
      <c r="R26" s="301"/>
      <c r="S26" s="301">
        <f>ROUND(O26*LOOKUP(A26,Data!$X$135:$X$164,Data!$AC$135:$AC$164)/100,0)</f>
        <v>14839</v>
      </c>
      <c r="T26" s="301">
        <f t="shared" si="24"/>
        <v>5144</v>
      </c>
      <c r="U26" s="295">
        <f>IF(AND(OR(Data!AE141=12,Data!AE141=14.5,Data!AE141=20),ROUND(Salary!O26*Data!AE141/100,0)&gt;=8000),8000,IF(AND(Data!AE141=30,ROUND(Salary!O26*Data!AE141/100,0)&gt;=12000),12000,ROUND(Salary!O26*Data!AE141/100,0)))</f>
        <v>3810</v>
      </c>
      <c r="V26" s="301">
        <f>V25</f>
        <v>75</v>
      </c>
      <c r="W26" s="301">
        <f>Data!AH141</f>
        <v>0</v>
      </c>
      <c r="X26" s="301">
        <f>IF(Data!$AL$55=2,IF(ROUND(O26*10/100,0)&lt;=900,ROUND(O26*10/100,0),900),0)</f>
        <v>0</v>
      </c>
      <c r="Y26" s="301"/>
      <c r="Z26" s="302">
        <f t="shared" si="25"/>
        <v>42968</v>
      </c>
      <c r="AA26" s="301">
        <f t="shared" si="26"/>
        <v>200</v>
      </c>
      <c r="AB26" s="301">
        <f t="shared" si="27"/>
        <v>1237</v>
      </c>
      <c r="AC26" s="301">
        <f t="shared" si="28"/>
        <v>0</v>
      </c>
      <c r="AD26" s="301">
        <v>0</v>
      </c>
      <c r="AE26" s="301">
        <f t="shared" si="29"/>
        <v>3587</v>
      </c>
      <c r="AF26" s="301">
        <f t="shared" si="30"/>
        <v>4244</v>
      </c>
      <c r="AG26" s="301">
        <f t="shared" si="31"/>
        <v>50</v>
      </c>
      <c r="AH26" s="301">
        <f t="shared" si="32"/>
        <v>0</v>
      </c>
      <c r="AI26" s="301">
        <f t="shared" si="33"/>
        <v>0</v>
      </c>
      <c r="AJ26" s="301">
        <f t="shared" si="34"/>
        <v>0</v>
      </c>
      <c r="AK26" s="301"/>
      <c r="AL26" s="302">
        <f t="shared" si="16"/>
        <v>9118</v>
      </c>
      <c r="AM26" s="301">
        <f t="shared" si="35"/>
        <v>0</v>
      </c>
      <c r="AN26" s="303">
        <f t="shared" si="36"/>
        <v>9118</v>
      </c>
      <c r="AO26" s="297">
        <f>IF(ISERROR(IF(OR(Data!$Z$111=1,Data!$Z$111=2,Data!$Z$111=4),Salary!AN26,ROUND((C26+G26)*10%,0)-ROUND((O26+S26)*10%,0))),"",IF(OR(Data!$Z$111=1,Data!$Z$111=2,Data!$Z$111=4),Salary!AN26,ROUND((C26+G26)*10%,0)-ROUND((O26+S26)*10%,0)))</f>
        <v>997</v>
      </c>
      <c r="AP26" s="304">
        <f aca="true" t="shared" si="37" ref="AP26:AP36">IF(ISERROR(AN26-AO26),"",AN26-AO26)</f>
        <v>8121</v>
      </c>
    </row>
    <row r="27" spans="1:42" ht="15">
      <c r="A27" s="260">
        <v>14</v>
      </c>
      <c r="B27" s="234" t="str">
        <f>Data!Y142</f>
        <v>Aug-2014</v>
      </c>
      <c r="C27" s="301">
        <f>Data!AJ142</f>
        <v>40270</v>
      </c>
      <c r="D27" s="301">
        <f>Data!$K$13</f>
        <v>330</v>
      </c>
      <c r="E27" s="301">
        <f>Data!$O$10</f>
        <v>50</v>
      </c>
      <c r="F27" s="301"/>
      <c r="G27" s="301">
        <f>ROUND(C27*VLOOKUP(A27,Data!$X$129:$AR$158,14,0)/100,0)</f>
        <v>3587</v>
      </c>
      <c r="H27" s="295">
        <f>IF(AND(OR(Data!AE141=12,Data!AE141=14.5,Data!AE141=20),ROUND(C27*Data!AE142/100,0)&gt;=15000),15000,IF(AND(Data!AE141=30,ROUND(C27*Data!AE142/100,0)&gt;=20000),20000,ROUND(C27*Data!AE142/100,0)))</f>
        <v>5839</v>
      </c>
      <c r="I27" s="301">
        <f aca="true" t="shared" si="38" ref="I27:I33">I26</f>
        <v>125</v>
      </c>
      <c r="J27" s="301">
        <f>Data!AN142</f>
        <v>0</v>
      </c>
      <c r="K27" s="301">
        <f>IF(Data!$AL$55=2,IF(ROUND(C27*10/100,0)&lt;=2000,ROUND(C27*10/100,0),2000),0)</f>
        <v>0</v>
      </c>
      <c r="L27" s="301"/>
      <c r="M27" s="301">
        <f t="shared" si="21"/>
        <v>50201</v>
      </c>
      <c r="N27" s="301">
        <f t="shared" si="22"/>
        <v>200</v>
      </c>
      <c r="O27" s="301">
        <f>Data!AB142</f>
        <v>19050</v>
      </c>
      <c r="P27" s="301">
        <f aca="true" t="shared" si="39" ref="P27:P33">D27</f>
        <v>330</v>
      </c>
      <c r="Q27" s="301">
        <f t="shared" si="23"/>
        <v>50</v>
      </c>
      <c r="R27" s="301"/>
      <c r="S27" s="301">
        <f>ROUND(O27*LOOKUP(A27,Data!$X$135:$X$164,Data!$AC$135:$AC$164)/100,0)</f>
        <v>14839</v>
      </c>
      <c r="T27" s="301">
        <f t="shared" si="24"/>
        <v>5144</v>
      </c>
      <c r="U27" s="295">
        <f>IF(AND(OR(Data!AE142=12,Data!AE142=14.5,Data!AE142=20),ROUND(Salary!O27*Data!AE142/100,0)&gt;=8000),8000,IF(AND(Data!AE142=30,ROUND(Salary!O27*Data!AE142/100,0)&gt;=12000),12000,ROUND(Salary!O27*Data!AE142/100,0)))</f>
        <v>2762</v>
      </c>
      <c r="V27" s="301">
        <f aca="true" t="shared" si="40" ref="V27:V33">V26</f>
        <v>75</v>
      </c>
      <c r="W27" s="301">
        <f>Data!AH142</f>
        <v>0</v>
      </c>
      <c r="X27" s="301">
        <f>IF(Data!$AL$55=2,IF(ROUND(O27*10/100,0)&lt;=900,ROUND(O27*10/100,0),900),0)</f>
        <v>0</v>
      </c>
      <c r="Y27" s="301"/>
      <c r="Z27" s="302">
        <f t="shared" si="25"/>
        <v>42250</v>
      </c>
      <c r="AA27" s="301">
        <f t="shared" si="26"/>
        <v>200</v>
      </c>
      <c r="AB27" s="301">
        <f t="shared" si="27"/>
        <v>1237</v>
      </c>
      <c r="AC27" s="301">
        <f t="shared" si="28"/>
        <v>0</v>
      </c>
      <c r="AD27" s="301">
        <v>0</v>
      </c>
      <c r="AE27" s="301">
        <f t="shared" si="29"/>
        <v>3587</v>
      </c>
      <c r="AF27" s="301">
        <f t="shared" si="30"/>
        <v>3077</v>
      </c>
      <c r="AG27" s="301">
        <f t="shared" si="31"/>
        <v>50</v>
      </c>
      <c r="AH27" s="301">
        <f t="shared" si="32"/>
        <v>0</v>
      </c>
      <c r="AI27" s="301">
        <f t="shared" si="33"/>
        <v>0</v>
      </c>
      <c r="AJ27" s="301">
        <f t="shared" si="34"/>
        <v>0</v>
      </c>
      <c r="AK27" s="301"/>
      <c r="AL27" s="302">
        <f t="shared" si="16"/>
        <v>7951</v>
      </c>
      <c r="AM27" s="301">
        <f t="shared" si="35"/>
        <v>0</v>
      </c>
      <c r="AN27" s="303">
        <f t="shared" si="36"/>
        <v>7951</v>
      </c>
      <c r="AO27" s="297">
        <f>IF(ISERROR(IF(OR(Data!$Z$111=1,Data!$Z$111=2,Data!$Z$111=4),Salary!AN27,ROUND((C27+G27)*10%,0)-ROUND((O27+S27)*10%,0))),"",IF(OR(Data!$Z$111=1,Data!$Z$111=2,Data!$Z$111=4),Salary!AN27,ROUND((C27+G27)*10%,0)-ROUND((O27+S27)*10%,0)))</f>
        <v>997</v>
      </c>
      <c r="AP27" s="304">
        <f t="shared" si="37"/>
        <v>6954</v>
      </c>
    </row>
    <row r="28" spans="1:42" ht="15">
      <c r="A28" s="260">
        <v>15</v>
      </c>
      <c r="B28" s="234" t="str">
        <f>Data!Y143</f>
        <v>Sep-2014</v>
      </c>
      <c r="C28" s="301">
        <f>Data!AJ143</f>
        <v>40270</v>
      </c>
      <c r="D28" s="301">
        <f>Data!$K$13</f>
        <v>330</v>
      </c>
      <c r="E28" s="301">
        <f>Data!$O$10</f>
        <v>50</v>
      </c>
      <c r="F28" s="301"/>
      <c r="G28" s="301">
        <f>ROUND(C28*VLOOKUP(A28,Data!$X$129:$AR$158,14,0)/100,0)</f>
        <v>3587</v>
      </c>
      <c r="H28" s="295">
        <f>IF(AND(OR(Data!AE142=12,Data!AE142=14.5,Data!AE142=20),ROUND(C28*Data!AE143/100,0)&gt;=15000),15000,IF(AND(Data!AE142=30,ROUND(C28*Data!AE143/100,0)&gt;=20000),20000,ROUND(C28*Data!AE143/100,0)))</f>
        <v>5839</v>
      </c>
      <c r="I28" s="301">
        <f t="shared" si="38"/>
        <v>125</v>
      </c>
      <c r="J28" s="301">
        <f>Data!AN143</f>
        <v>0</v>
      </c>
      <c r="K28" s="301">
        <f>IF(Data!$AL$55=2,IF(ROUND(C28*10/100,0)&lt;=2000,ROUND(C28*10/100,0),2000),0)</f>
        <v>0</v>
      </c>
      <c r="L28" s="301"/>
      <c r="M28" s="301">
        <f t="shared" si="21"/>
        <v>50201</v>
      </c>
      <c r="N28" s="301">
        <f t="shared" si="22"/>
        <v>200</v>
      </c>
      <c r="O28" s="301">
        <f>Data!AB143</f>
        <v>19050</v>
      </c>
      <c r="P28" s="301">
        <f t="shared" si="39"/>
        <v>330</v>
      </c>
      <c r="Q28" s="301">
        <f t="shared" si="23"/>
        <v>50</v>
      </c>
      <c r="R28" s="301"/>
      <c r="S28" s="301">
        <f>ROUND(O28*LOOKUP(A28,Data!$X$135:$X$164,Data!$AC$135:$AC$164)/100,0)</f>
        <v>14839</v>
      </c>
      <c r="T28" s="301">
        <f t="shared" si="24"/>
        <v>5144</v>
      </c>
      <c r="U28" s="295">
        <f>IF(AND(OR(Data!AE143=12,Data!AE143=14.5,Data!AE143=20),ROUND(Salary!O28*Data!AE143/100,0)&gt;=8000),8000,IF(AND(Data!AE143=30,ROUND(Salary!O28*Data!AE143/100,0)&gt;=12000),12000,ROUND(Salary!O28*Data!AE143/100,0)))</f>
        <v>2762</v>
      </c>
      <c r="V28" s="301">
        <f t="shared" si="40"/>
        <v>75</v>
      </c>
      <c r="W28" s="301">
        <f>Data!AH143</f>
        <v>0</v>
      </c>
      <c r="X28" s="301">
        <f>IF(Data!$AL$55=2,IF(ROUND(O28*10/100,0)&lt;=900,ROUND(O28*10/100,0),900),0)</f>
        <v>0</v>
      </c>
      <c r="Y28" s="301"/>
      <c r="Z28" s="302">
        <f t="shared" si="25"/>
        <v>42250</v>
      </c>
      <c r="AA28" s="301">
        <f t="shared" si="26"/>
        <v>200</v>
      </c>
      <c r="AB28" s="301">
        <f t="shared" si="27"/>
        <v>1237</v>
      </c>
      <c r="AC28" s="301">
        <f t="shared" si="28"/>
        <v>0</v>
      </c>
      <c r="AD28" s="301">
        <v>0</v>
      </c>
      <c r="AE28" s="301">
        <f t="shared" si="29"/>
        <v>3587</v>
      </c>
      <c r="AF28" s="301">
        <f t="shared" si="30"/>
        <v>3077</v>
      </c>
      <c r="AG28" s="301">
        <f t="shared" si="31"/>
        <v>50</v>
      </c>
      <c r="AH28" s="301">
        <f t="shared" si="32"/>
        <v>0</v>
      </c>
      <c r="AI28" s="301">
        <f t="shared" si="33"/>
        <v>0</v>
      </c>
      <c r="AJ28" s="301">
        <f t="shared" si="34"/>
        <v>0</v>
      </c>
      <c r="AK28" s="301"/>
      <c r="AL28" s="302">
        <f t="shared" si="16"/>
        <v>7951</v>
      </c>
      <c r="AM28" s="301">
        <f t="shared" si="35"/>
        <v>0</v>
      </c>
      <c r="AN28" s="303">
        <f t="shared" si="36"/>
        <v>7951</v>
      </c>
      <c r="AO28" s="297">
        <f>IF(ISERROR(IF(OR(Data!$Z$111=1,Data!$Z$111=2,Data!$Z$111=4),Salary!AN28,ROUND((C28+G28)*10%,0)-ROUND((O28+S28)*10%,0))),"",IF(OR(Data!$Z$111=1,Data!$Z$111=2,Data!$Z$111=4),Salary!AN28,ROUND((C28+G28)*10%,0)-ROUND((O28+S28)*10%,0)))</f>
        <v>997</v>
      </c>
      <c r="AP28" s="304">
        <f t="shared" si="37"/>
        <v>6954</v>
      </c>
    </row>
    <row r="29" spans="1:42" ht="15">
      <c r="A29" s="260">
        <v>16</v>
      </c>
      <c r="B29" s="234" t="str">
        <f>Data!Y144</f>
        <v>Oct-2014</v>
      </c>
      <c r="C29" s="301">
        <f>Data!AJ144</f>
        <v>40270</v>
      </c>
      <c r="D29" s="301">
        <f>Data!$K$13</f>
        <v>330</v>
      </c>
      <c r="E29" s="301">
        <f>Data!$O$10</f>
        <v>50</v>
      </c>
      <c r="F29" s="301"/>
      <c r="G29" s="301">
        <f>ROUND(C29*VLOOKUP(A29,Data!$X$129:$AR$158,14,0)/100,0)</f>
        <v>3587</v>
      </c>
      <c r="H29" s="295">
        <f>IF(AND(OR(Data!AE143=12,Data!AE143=14.5,Data!AE143=20),ROUND(C29*Data!AE144/100,0)&gt;=15000),15000,IF(AND(Data!AE143=30,ROUND(C29*Data!AE144/100,0)&gt;=20000),20000,ROUND(C29*Data!AE144/100,0)))</f>
        <v>5839</v>
      </c>
      <c r="I29" s="301">
        <f t="shared" si="38"/>
        <v>125</v>
      </c>
      <c r="J29" s="301">
        <f>Data!AN144</f>
        <v>0</v>
      </c>
      <c r="K29" s="301">
        <f>IF(Data!$AL$55=2,IF(ROUND(C29*10/100,0)&lt;=2000,ROUND(C29*10/100,0),2000),0)</f>
        <v>0</v>
      </c>
      <c r="L29" s="301"/>
      <c r="M29" s="301">
        <f t="shared" si="21"/>
        <v>50201</v>
      </c>
      <c r="N29" s="301">
        <f t="shared" si="22"/>
        <v>200</v>
      </c>
      <c r="O29" s="301">
        <f>Data!AB144</f>
        <v>19050</v>
      </c>
      <c r="P29" s="301">
        <f t="shared" si="39"/>
        <v>330</v>
      </c>
      <c r="Q29" s="301">
        <f t="shared" si="23"/>
        <v>50</v>
      </c>
      <c r="R29" s="301"/>
      <c r="S29" s="301">
        <f>ROUND(O29*LOOKUP(A29,Data!$X$135:$X$164,Data!$AC$135:$AC$164)/100,0)</f>
        <v>14839</v>
      </c>
      <c r="T29" s="301">
        <f t="shared" si="24"/>
        <v>5144</v>
      </c>
      <c r="U29" s="295">
        <f>IF(AND(OR(Data!AE144=12,Data!AE144=14.5,Data!AE144=20),ROUND(Salary!O29*Data!AE144/100,0)&gt;=8000),8000,IF(AND(Data!AE144=30,ROUND(Salary!O29*Data!AE144/100,0)&gt;=12000),12000,ROUND(Salary!O29*Data!AE144/100,0)))</f>
        <v>2762</v>
      </c>
      <c r="V29" s="301">
        <f t="shared" si="40"/>
        <v>75</v>
      </c>
      <c r="W29" s="301">
        <f>Data!AH144</f>
        <v>0</v>
      </c>
      <c r="X29" s="301">
        <f>IF(Data!$AL$55=2,IF(ROUND(O29*10/100,0)&lt;=900,ROUND(O29*10/100,0),900),0)</f>
        <v>0</v>
      </c>
      <c r="Y29" s="301"/>
      <c r="Z29" s="302">
        <f t="shared" si="25"/>
        <v>42250</v>
      </c>
      <c r="AA29" s="301">
        <f t="shared" si="26"/>
        <v>200</v>
      </c>
      <c r="AB29" s="301">
        <f t="shared" si="27"/>
        <v>1237</v>
      </c>
      <c r="AC29" s="301">
        <f t="shared" si="28"/>
        <v>0</v>
      </c>
      <c r="AD29" s="301">
        <v>0</v>
      </c>
      <c r="AE29" s="301">
        <f t="shared" si="29"/>
        <v>3587</v>
      </c>
      <c r="AF29" s="301">
        <f t="shared" si="30"/>
        <v>3077</v>
      </c>
      <c r="AG29" s="301">
        <f t="shared" si="31"/>
        <v>50</v>
      </c>
      <c r="AH29" s="301">
        <f t="shared" si="32"/>
        <v>0</v>
      </c>
      <c r="AI29" s="301">
        <f t="shared" si="33"/>
        <v>0</v>
      </c>
      <c r="AJ29" s="301">
        <f t="shared" si="34"/>
        <v>0</v>
      </c>
      <c r="AK29" s="301"/>
      <c r="AL29" s="302">
        <f t="shared" si="16"/>
        <v>7951</v>
      </c>
      <c r="AM29" s="301">
        <f t="shared" si="35"/>
        <v>0</v>
      </c>
      <c r="AN29" s="303">
        <f t="shared" si="36"/>
        <v>7951</v>
      </c>
      <c r="AO29" s="297">
        <f>IF(ISERROR(IF(OR(Data!$Z$111=1,Data!$Z$111=2,Data!$Z$111=4),Salary!AN29,ROUND((C29+G29)*10%,0)-ROUND((O29+S29)*10%,0))),"",IF(OR(Data!$Z$111=1,Data!$Z$111=2,Data!$Z$111=4),Salary!AN29,ROUND((C29+G29)*10%,0)-ROUND((O29+S29)*10%,0)))</f>
        <v>997</v>
      </c>
      <c r="AP29" s="304">
        <f t="shared" si="37"/>
        <v>6954</v>
      </c>
    </row>
    <row r="30" spans="1:42" ht="15">
      <c r="A30" s="260">
        <v>17</v>
      </c>
      <c r="B30" s="234" t="str">
        <f>Data!Y145</f>
        <v>Nov-2014</v>
      </c>
      <c r="C30" s="301">
        <f>Data!AJ145</f>
        <v>41380</v>
      </c>
      <c r="D30" s="301">
        <f>Data!$K$13</f>
        <v>330</v>
      </c>
      <c r="E30" s="301">
        <f>Data!$O$10</f>
        <v>50</v>
      </c>
      <c r="F30" s="301"/>
      <c r="G30" s="301">
        <f>ROUND(C30*VLOOKUP(A30,Data!$X$129:$AR$158,14,0)/100,0)</f>
        <v>3686</v>
      </c>
      <c r="H30" s="295">
        <f>IF(AND(OR(Data!AE144=12,Data!AE144=14.5,Data!AE144=20),ROUND(C30*Data!AE145/100,0)&gt;=15000),15000,IF(AND(Data!AE144=30,ROUND(C30*Data!AE145/100,0)&gt;=20000),20000,ROUND(C30*Data!AE145/100,0)))</f>
        <v>6000</v>
      </c>
      <c r="I30" s="301">
        <f t="shared" si="38"/>
        <v>125</v>
      </c>
      <c r="J30" s="301">
        <f>Data!AN145</f>
        <v>0</v>
      </c>
      <c r="K30" s="301">
        <f>IF(Data!$AL$55=2,IF(ROUND(C30*10/100,0)&lt;=2000,ROUND(C30*10/100,0),2000),0)</f>
        <v>0</v>
      </c>
      <c r="L30" s="301"/>
      <c r="M30" s="301">
        <f t="shared" si="21"/>
        <v>51571</v>
      </c>
      <c r="N30" s="301">
        <f t="shared" si="22"/>
        <v>200</v>
      </c>
      <c r="O30" s="301">
        <f>Data!AB145</f>
        <v>19580</v>
      </c>
      <c r="P30" s="301">
        <f t="shared" si="39"/>
        <v>330</v>
      </c>
      <c r="Q30" s="301">
        <f t="shared" si="23"/>
        <v>50</v>
      </c>
      <c r="R30" s="301"/>
      <c r="S30" s="301">
        <f>ROUND(O30*LOOKUP(A30,Data!$X$135:$X$164,Data!$AC$135:$AC$164)/100,0)</f>
        <v>15252</v>
      </c>
      <c r="T30" s="301">
        <f t="shared" si="24"/>
        <v>5287</v>
      </c>
      <c r="U30" s="295">
        <f>IF(AND(OR(Data!AE145=12,Data!AE145=14.5,Data!AE145=20),ROUND(Salary!O30*Data!AE145/100,0)&gt;=8000),8000,IF(AND(Data!AE145=30,ROUND(Salary!O30*Data!AE145/100,0)&gt;=12000),12000,ROUND(Salary!O30*Data!AE145/100,0)))</f>
        <v>2839</v>
      </c>
      <c r="V30" s="301">
        <f t="shared" si="40"/>
        <v>75</v>
      </c>
      <c r="W30" s="301">
        <f>Data!AH145</f>
        <v>0</v>
      </c>
      <c r="X30" s="301">
        <f>IF(Data!$AL$55=2,IF(ROUND(O30*10/100,0)&lt;=900,ROUND(O30*10/100,0),900),0)</f>
        <v>0</v>
      </c>
      <c r="Y30" s="301"/>
      <c r="Z30" s="302">
        <f t="shared" si="25"/>
        <v>43413</v>
      </c>
      <c r="AA30" s="301">
        <f>IF(Z30&gt;20000,200,IF(Z30&gt;15000,150,IF(Z30&gt;10000,100,80)))</f>
        <v>200</v>
      </c>
      <c r="AB30" s="301">
        <f t="shared" si="27"/>
        <v>1261</v>
      </c>
      <c r="AC30" s="301">
        <f t="shared" si="28"/>
        <v>0</v>
      </c>
      <c r="AD30" s="301">
        <v>0</v>
      </c>
      <c r="AE30" s="301">
        <f t="shared" si="29"/>
        <v>3686</v>
      </c>
      <c r="AF30" s="301">
        <f t="shared" si="30"/>
        <v>3161</v>
      </c>
      <c r="AG30" s="301">
        <f t="shared" si="31"/>
        <v>50</v>
      </c>
      <c r="AH30" s="301">
        <f t="shared" si="32"/>
        <v>0</v>
      </c>
      <c r="AI30" s="301">
        <f t="shared" si="33"/>
        <v>0</v>
      </c>
      <c r="AJ30" s="301">
        <f t="shared" si="34"/>
        <v>0</v>
      </c>
      <c r="AK30" s="301"/>
      <c r="AL30" s="302">
        <f t="shared" si="16"/>
        <v>8158</v>
      </c>
      <c r="AM30" s="301">
        <f t="shared" si="35"/>
        <v>0</v>
      </c>
      <c r="AN30" s="303">
        <f t="shared" si="36"/>
        <v>8158</v>
      </c>
      <c r="AO30" s="297">
        <f>IF(ISERROR(IF(OR(Data!$Z$111=1,Data!$Z$111=2,Data!$Z$111=4),Salary!AN30,ROUND((C30+G30)*10%,0)-ROUND((O30+S30)*10%,0))),"",IF(OR(Data!$Z$111=1,Data!$Z$111=2,Data!$Z$111=4),Salary!AN30,ROUND((C30+G30)*10%,0)-ROUND((O30+S30)*10%,0)))</f>
        <v>1024</v>
      </c>
      <c r="AP30" s="304">
        <f t="shared" si="37"/>
        <v>7134</v>
      </c>
    </row>
    <row r="31" spans="1:42" ht="15">
      <c r="A31" s="260">
        <v>18</v>
      </c>
      <c r="B31" s="234" t="str">
        <f>Data!Y146</f>
        <v>Dec-2014</v>
      </c>
      <c r="C31" s="301">
        <f>Data!AJ146</f>
        <v>41380</v>
      </c>
      <c r="D31" s="301">
        <f>Data!$K$13</f>
        <v>330</v>
      </c>
      <c r="E31" s="301">
        <f>Data!$O$10</f>
        <v>50</v>
      </c>
      <c r="F31" s="301"/>
      <c r="G31" s="301">
        <f>ROUND(C31*VLOOKUP(A31,Data!$X$129:$AR$158,14,0)/100,0)</f>
        <v>3686</v>
      </c>
      <c r="H31" s="295">
        <f>IF(AND(OR(Data!AE145=12,Data!AE145=14.5,Data!AE145=20),ROUND(C31*Data!AE146/100,0)&gt;=15000),15000,IF(AND(Data!AE145=30,ROUND(C31*Data!AE146/100,0)&gt;=20000),20000,ROUND(C31*Data!AE146/100,0)))</f>
        <v>6000</v>
      </c>
      <c r="I31" s="301">
        <f>I30</f>
        <v>125</v>
      </c>
      <c r="J31" s="301">
        <f>Data!AN146</f>
        <v>0</v>
      </c>
      <c r="K31" s="301">
        <f>IF(Data!$AL$55=2,IF(ROUND(C31*10/100,0)&lt;=2000,ROUND(C31*10/100,0),2000),0)</f>
        <v>0</v>
      </c>
      <c r="L31" s="301"/>
      <c r="M31" s="301">
        <f t="shared" si="21"/>
        <v>51571</v>
      </c>
      <c r="N31" s="301">
        <f t="shared" si="22"/>
        <v>200</v>
      </c>
      <c r="O31" s="301">
        <f>Data!AB146</f>
        <v>19580</v>
      </c>
      <c r="P31" s="301">
        <f t="shared" si="39"/>
        <v>330</v>
      </c>
      <c r="Q31" s="301">
        <f t="shared" si="23"/>
        <v>50</v>
      </c>
      <c r="R31" s="301"/>
      <c r="S31" s="301">
        <f>ROUND(O31*LOOKUP(A31,Data!$X$135:$X$164,Data!$AC$135:$AC$164)/100,0)</f>
        <v>15252</v>
      </c>
      <c r="T31" s="301">
        <f t="shared" si="24"/>
        <v>5287</v>
      </c>
      <c r="U31" s="295">
        <f>IF(AND(OR(Data!AE146=12,Data!AE146=14.5,Data!AE146=20),ROUND(Salary!O31*Data!AE146/100,0)&gt;=8000),8000,IF(AND(Data!AE146=30,ROUND(Salary!O31*Data!AE146/100,0)&gt;=12000),12000,ROUND(Salary!O31*Data!AE146/100,0)))</f>
        <v>2839</v>
      </c>
      <c r="V31" s="301">
        <f t="shared" si="40"/>
        <v>75</v>
      </c>
      <c r="W31" s="301">
        <f>Data!AH146</f>
        <v>0</v>
      </c>
      <c r="X31" s="301">
        <f>IF(Data!$AL$55=2,IF(ROUND(O31*10/100,0)&lt;=900,ROUND(O31*10/100,0),900),0)</f>
        <v>0</v>
      </c>
      <c r="Y31" s="301"/>
      <c r="Z31" s="302">
        <f t="shared" si="25"/>
        <v>43413</v>
      </c>
      <c r="AA31" s="301">
        <f t="shared" si="26"/>
        <v>200</v>
      </c>
      <c r="AB31" s="301">
        <f t="shared" si="27"/>
        <v>1261</v>
      </c>
      <c r="AC31" s="301">
        <f t="shared" si="28"/>
        <v>0</v>
      </c>
      <c r="AD31" s="301">
        <v>0</v>
      </c>
      <c r="AE31" s="301">
        <f t="shared" si="29"/>
        <v>3686</v>
      </c>
      <c r="AF31" s="301">
        <f t="shared" si="30"/>
        <v>3161</v>
      </c>
      <c r="AG31" s="301">
        <f t="shared" si="31"/>
        <v>50</v>
      </c>
      <c r="AH31" s="301">
        <f t="shared" si="32"/>
        <v>0</v>
      </c>
      <c r="AI31" s="301">
        <f t="shared" si="33"/>
        <v>0</v>
      </c>
      <c r="AJ31" s="301">
        <f t="shared" si="34"/>
        <v>0</v>
      </c>
      <c r="AK31" s="301"/>
      <c r="AL31" s="302">
        <f t="shared" si="16"/>
        <v>8158</v>
      </c>
      <c r="AM31" s="301">
        <f t="shared" si="35"/>
        <v>0</v>
      </c>
      <c r="AN31" s="303">
        <f t="shared" si="36"/>
        <v>8158</v>
      </c>
      <c r="AO31" s="297">
        <f>IF(ISERROR(IF(OR(Data!$Z$111=1,Data!$Z$111=2,Data!$Z$111=4),Salary!AN31,ROUND((C31+G31)*10%,0)-ROUND((O31+S31)*10%,0))),"",IF(OR(Data!$Z$111=1,Data!$Z$111=2,Data!$Z$111=4),Salary!AN31,ROUND((C31+G31)*10%,0)-ROUND((O31+S31)*10%,0)))</f>
        <v>1024</v>
      </c>
      <c r="AP31" s="304">
        <f t="shared" si="37"/>
        <v>7134</v>
      </c>
    </row>
    <row r="32" spans="1:42" ht="15">
      <c r="A32" s="260">
        <v>19</v>
      </c>
      <c r="B32" s="234" t="str">
        <f>Data!Y147</f>
        <v>Jan-2015</v>
      </c>
      <c r="C32" s="301">
        <f>Data!AJ147</f>
        <v>41380</v>
      </c>
      <c r="D32" s="301">
        <f>Data!$K$13</f>
        <v>330</v>
      </c>
      <c r="E32" s="301">
        <f>Data!$O$10</f>
        <v>50</v>
      </c>
      <c r="F32" s="301"/>
      <c r="G32" s="301">
        <f>ROUND(C32*VLOOKUP(A32,Data!$X$129:$AR$158,14,0)/100,0)</f>
        <v>3686</v>
      </c>
      <c r="H32" s="295">
        <f>IF(AND(OR(Data!AE146=12,Data!AE146=14.5,Data!AE146=20),ROUND(C32*Data!AE147/100,0)&gt;=15000),15000,IF(AND(Data!AE146=30,ROUND(C32*Data!AE147/100,0)&gt;=20000),20000,ROUND(C32*Data!AE147/100,0)))</f>
        <v>6000</v>
      </c>
      <c r="I32" s="301">
        <f t="shared" si="38"/>
        <v>125</v>
      </c>
      <c r="J32" s="301">
        <f>Data!AN147</f>
        <v>0</v>
      </c>
      <c r="K32" s="301">
        <f>IF(Data!$AL$55=2,IF(ROUND(C32*10/100,0)&lt;=2000,ROUND(C32*10/100,0),2000),0)</f>
        <v>0</v>
      </c>
      <c r="L32" s="301"/>
      <c r="M32" s="301">
        <f t="shared" si="21"/>
        <v>51571</v>
      </c>
      <c r="N32" s="301">
        <f t="shared" si="22"/>
        <v>200</v>
      </c>
      <c r="O32" s="301">
        <f>Data!AB147</f>
        <v>19580</v>
      </c>
      <c r="P32" s="301">
        <f t="shared" si="39"/>
        <v>330</v>
      </c>
      <c r="Q32" s="301">
        <f t="shared" si="23"/>
        <v>50</v>
      </c>
      <c r="R32" s="301"/>
      <c r="S32" s="301">
        <f>ROUND(O32*LOOKUP(A32,Data!$X$135:$X$164,Data!$AC$135:$AC$164)/100,0)</f>
        <v>15252</v>
      </c>
      <c r="T32" s="301">
        <f t="shared" si="24"/>
        <v>5287</v>
      </c>
      <c r="U32" s="295">
        <f>IF(AND(OR(Data!AE147=12,Data!AE147=14.5,Data!AE147=20),ROUND(Salary!O32*Data!AE147/100,0)&gt;=8000),8000,IF(AND(Data!AE147=30,ROUND(Salary!O32*Data!AE147/100,0)&gt;=12000),12000,ROUND(Salary!O32*Data!AE147/100,0)))</f>
        <v>2839</v>
      </c>
      <c r="V32" s="301">
        <f t="shared" si="40"/>
        <v>75</v>
      </c>
      <c r="W32" s="301">
        <f>Data!AH147</f>
        <v>0</v>
      </c>
      <c r="X32" s="301">
        <f>IF(Data!$AL$55=2,IF(ROUND(O32*10/100,0)&lt;=900,ROUND(O32*10/100,0),900),0)</f>
        <v>0</v>
      </c>
      <c r="Y32" s="301"/>
      <c r="Z32" s="302">
        <f t="shared" si="25"/>
        <v>43413</v>
      </c>
      <c r="AA32" s="301">
        <f t="shared" si="26"/>
        <v>200</v>
      </c>
      <c r="AB32" s="301">
        <f t="shared" si="27"/>
        <v>1261</v>
      </c>
      <c r="AC32" s="301">
        <f t="shared" si="28"/>
        <v>0</v>
      </c>
      <c r="AD32" s="301">
        <v>0</v>
      </c>
      <c r="AE32" s="301">
        <f t="shared" si="29"/>
        <v>3686</v>
      </c>
      <c r="AF32" s="301">
        <f t="shared" si="30"/>
        <v>3161</v>
      </c>
      <c r="AG32" s="301">
        <f t="shared" si="31"/>
        <v>50</v>
      </c>
      <c r="AH32" s="301">
        <f t="shared" si="32"/>
        <v>0</v>
      </c>
      <c r="AI32" s="301">
        <f t="shared" si="33"/>
        <v>0</v>
      </c>
      <c r="AJ32" s="301">
        <f t="shared" si="34"/>
        <v>0</v>
      </c>
      <c r="AK32" s="301"/>
      <c r="AL32" s="302">
        <f t="shared" si="16"/>
        <v>8158</v>
      </c>
      <c r="AM32" s="301">
        <f t="shared" si="35"/>
        <v>0</v>
      </c>
      <c r="AN32" s="303">
        <f t="shared" si="36"/>
        <v>8158</v>
      </c>
      <c r="AO32" s="297">
        <f>IF(ISERROR(IF(OR(Data!$Z$111=1,Data!$Z$111=2,Data!$Z$111=4),Salary!AN32,ROUND((C32+G32)*10%,0)-ROUND((O32+S32)*10%,0))),"",IF(OR(Data!$Z$111=1,Data!$Z$111=2,Data!$Z$111=4),Salary!AN32,ROUND((C32+G32)*10%,0)-ROUND((O32+S32)*10%,0)))</f>
        <v>1024</v>
      </c>
      <c r="AP32" s="304">
        <f t="shared" si="37"/>
        <v>7134</v>
      </c>
    </row>
    <row r="33" spans="1:42" ht="15">
      <c r="A33" s="260">
        <v>20</v>
      </c>
      <c r="B33" s="234" t="str">
        <f>Data!Y148</f>
        <v>Feb-2015</v>
      </c>
      <c r="C33" s="301">
        <f>Data!AJ148</f>
        <v>41380</v>
      </c>
      <c r="D33" s="301">
        <f>Data!$K$13</f>
        <v>330</v>
      </c>
      <c r="E33" s="301">
        <f>Data!$O$10</f>
        <v>50</v>
      </c>
      <c r="F33" s="301"/>
      <c r="G33" s="301">
        <f>ROUND(C33*VLOOKUP(A33,Data!$X$129:$AR$158,14,0)/100,0)</f>
        <v>3686</v>
      </c>
      <c r="H33" s="295">
        <f>IF(AND(OR(Data!AE147=12,Data!AE147=14.5,Data!AE147=20),ROUND(C33*Data!AE148/100,0)&gt;=15000),15000,IF(AND(Data!AE147=30,ROUND(C33*Data!AE148/100,0)&gt;=20000),20000,ROUND(C33*Data!AE148/100,0)))</f>
        <v>6000</v>
      </c>
      <c r="I33" s="301">
        <f t="shared" si="38"/>
        <v>125</v>
      </c>
      <c r="J33" s="301">
        <f>Data!AN148</f>
        <v>0</v>
      </c>
      <c r="K33" s="301">
        <f>IF(Data!$AL$55=2,IF(ROUND(C33*10/100,0)&lt;=2000,ROUND(C33*10/100,0),2000),0)</f>
        <v>0</v>
      </c>
      <c r="L33" s="301"/>
      <c r="M33" s="301">
        <f t="shared" si="21"/>
        <v>51571</v>
      </c>
      <c r="N33" s="301">
        <f t="shared" si="22"/>
        <v>200</v>
      </c>
      <c r="O33" s="301">
        <f>Data!AB148</f>
        <v>19580</v>
      </c>
      <c r="P33" s="301">
        <f t="shared" si="39"/>
        <v>330</v>
      </c>
      <c r="Q33" s="301">
        <f t="shared" si="23"/>
        <v>50</v>
      </c>
      <c r="R33" s="301"/>
      <c r="S33" s="301">
        <f>ROUND(O33*LOOKUP(A33,Data!$X$135:$X$164,Data!$AC$135:$AC$164)/100,0)</f>
        <v>15252</v>
      </c>
      <c r="T33" s="301">
        <f t="shared" si="24"/>
        <v>5287</v>
      </c>
      <c r="U33" s="295">
        <f>IF(AND(OR(Data!AE148=12,Data!AE148=14.5,Data!AE148=20),ROUND(Salary!O33*Data!AE148/100,0)&gt;=8000),8000,IF(AND(Data!AE148=30,ROUND(Salary!O33*Data!AE148/100,0)&gt;=12000),12000,ROUND(Salary!O33*Data!AE148/100,0)))</f>
        <v>2839</v>
      </c>
      <c r="V33" s="301">
        <f t="shared" si="40"/>
        <v>75</v>
      </c>
      <c r="W33" s="301">
        <f>Data!AH148</f>
        <v>0</v>
      </c>
      <c r="X33" s="301">
        <f>IF(Data!$AL$55=2,IF(ROUND(O33*10/100,0)&lt;=900,ROUND(O33*10/100,0),900),0)</f>
        <v>0</v>
      </c>
      <c r="Y33" s="301"/>
      <c r="Z33" s="302">
        <f t="shared" si="25"/>
        <v>43413</v>
      </c>
      <c r="AA33" s="301">
        <f t="shared" si="26"/>
        <v>200</v>
      </c>
      <c r="AB33" s="301">
        <f t="shared" si="27"/>
        <v>1261</v>
      </c>
      <c r="AC33" s="301">
        <f t="shared" si="28"/>
        <v>0</v>
      </c>
      <c r="AD33" s="301">
        <v>0</v>
      </c>
      <c r="AE33" s="301">
        <f t="shared" si="29"/>
        <v>3686</v>
      </c>
      <c r="AF33" s="301">
        <f t="shared" si="30"/>
        <v>3161</v>
      </c>
      <c r="AG33" s="301">
        <f t="shared" si="31"/>
        <v>50</v>
      </c>
      <c r="AH33" s="301">
        <f t="shared" si="32"/>
        <v>0</v>
      </c>
      <c r="AI33" s="301">
        <f t="shared" si="33"/>
        <v>0</v>
      </c>
      <c r="AJ33" s="301">
        <f t="shared" si="34"/>
        <v>0</v>
      </c>
      <c r="AK33" s="301"/>
      <c r="AL33" s="302">
        <f t="shared" si="16"/>
        <v>8158</v>
      </c>
      <c r="AM33" s="301">
        <f t="shared" si="35"/>
        <v>0</v>
      </c>
      <c r="AN33" s="303">
        <f t="shared" si="36"/>
        <v>8158</v>
      </c>
      <c r="AO33" s="297">
        <f>IF(ISERROR(IF(OR(Data!$Z$111=1,Data!$Z$111=2,Data!$Z$111=4),Salary!AN33,ROUND((C33+G33)*10%,0)-ROUND((O33+S33)*10%,0))),"",IF(OR(Data!$Z$111=1,Data!$Z$111=2,Data!$Z$111=4),Salary!AN33,ROUND((C33+G33)*10%,0)-ROUND((O33+S33)*10%,0)))</f>
        <v>1024</v>
      </c>
      <c r="AP33" s="304">
        <f t="shared" si="37"/>
        <v>7134</v>
      </c>
    </row>
    <row r="34" spans="1:42" ht="15" hidden="1">
      <c r="A34" s="260">
        <f>IF(C34&lt;&gt;"","AAS("&amp;Data!AD167&amp;")","")</f>
      </c>
      <c r="B34" s="234"/>
      <c r="C34" s="301">
        <f>IF(AND(Data!X167&gt;=13,Data!X167&lt;=21),Data!AM168,"")</f>
      </c>
      <c r="D34" s="301"/>
      <c r="E34" s="301"/>
      <c r="F34" s="301"/>
      <c r="G34" s="301">
        <f>IF(AND(Data!X167&gt;=13,Data!X167&lt;=22),Data!AN168,"")</f>
      </c>
      <c r="H34" s="301">
        <f>IF(AND(Data!X167&gt;=13,Data!X167&lt;=22),Data!AO168,"")</f>
      </c>
      <c r="I34" s="301"/>
      <c r="J34" s="301"/>
      <c r="K34" s="301"/>
      <c r="L34" s="301"/>
      <c r="M34" s="301">
        <f>IF(C34&lt;&gt;"",SUM(C34:L34),"")</f>
      </c>
      <c r="N34" s="301"/>
      <c r="O34" s="301">
        <f>IF(AND(C34&lt;&gt;"",C34&gt;0),Data!AF168,"")</f>
      </c>
      <c r="P34" s="301"/>
      <c r="Q34" s="301"/>
      <c r="R34" s="301"/>
      <c r="S34" s="301">
        <f>IF(AND(C34&lt;&gt;"",C34&gt;0),Data!AG168,"")</f>
      </c>
      <c r="T34" s="301">
        <f>IF(AND(C34&lt;&gt;"",C34&gt;0),Data!AI168,"")</f>
      </c>
      <c r="U34" s="301">
        <f>IF(AND(C34&lt;&gt;"",C34&gt;0),Data!AH168,"")</f>
      </c>
      <c r="V34" s="301"/>
      <c r="W34" s="301"/>
      <c r="X34" s="301"/>
      <c r="Y34" s="301"/>
      <c r="Z34" s="302">
        <f>IF(SUM(O34:Y34)=0,"",SUM(O34:Y34))</f>
      </c>
      <c r="AA34" s="301"/>
      <c r="AB34" s="301">
        <f>IF(ISERROR(C34-O34-S34-T34),"",C34-O34-S34-T34)</f>
      </c>
      <c r="AC34" s="301"/>
      <c r="AD34" s="301"/>
      <c r="AE34" s="301">
        <f t="shared" si="29"/>
      </c>
      <c r="AF34" s="301">
        <f>IF(ISERROR(H34-U34),"",H34-U34)</f>
      </c>
      <c r="AG34" s="301"/>
      <c r="AH34" s="301"/>
      <c r="AI34" s="301"/>
      <c r="AJ34" s="301"/>
      <c r="AK34" s="301"/>
      <c r="AL34" s="302">
        <f>IF(SUM(AB34:AJ34)=0,"",SUM(AB34:AJ34))</f>
      </c>
      <c r="AM34" s="301"/>
      <c r="AN34" s="303">
        <f t="shared" si="36"/>
      </c>
      <c r="AO34" s="303">
        <f>IF(ISERROR(IF(OR(Data!$Z$111=1,Data!$Z$111=2,Data!$Z$111=4),Salary!AN34,ROUND((Salary!AB34+Salary!AE34)*10%,0))),"",IF(OR(Data!$Z$111=1,Data!$Z$111=2,Data!$Z$111=4),Salary!AN34,ROUND((Salary!AB34+Salary!AE34)*10%,0)))</f>
      </c>
      <c r="AP34" s="304">
        <f t="shared" si="37"/>
      </c>
    </row>
    <row r="35" spans="1:42" ht="15" hidden="1">
      <c r="A35" s="530">
        <f>IF(C35="","","Promo Arrs "&amp;Data!$AD$172)</f>
      </c>
      <c r="B35" s="531"/>
      <c r="C35" s="308">
        <f>IF(AND(Data!X172&gt;=13,Data!X172&lt;=21),Data!AM173,"")</f>
      </c>
      <c r="D35" s="308"/>
      <c r="E35" s="308"/>
      <c r="F35" s="308"/>
      <c r="G35" s="308">
        <f>IF(AND(Data!X172&gt;=13,Data!X172&lt;=22),Data!AN173,"")</f>
      </c>
      <c r="H35" s="308">
        <f>IF(AND(Data!X172&gt;=13,Data!X172&lt;=22),Data!AO173,"")</f>
      </c>
      <c r="I35" s="308"/>
      <c r="J35" s="308"/>
      <c r="K35" s="308"/>
      <c r="L35" s="308"/>
      <c r="M35" s="308">
        <f>IF(C35&lt;&gt;"",SUM(C35:L35),"")</f>
      </c>
      <c r="N35" s="308"/>
      <c r="O35" s="308">
        <f>IF(AND(C35&lt;&gt;"",C35&gt;0),Data!AF173,"")</f>
      </c>
      <c r="P35" s="308"/>
      <c r="Q35" s="308"/>
      <c r="R35" s="308"/>
      <c r="S35" s="308">
        <f>IF(AND(C35&lt;&gt;"",C35&gt;0),Data!AG173,"")</f>
      </c>
      <c r="T35" s="308">
        <f>IF(AND(C35&lt;&gt;"",C35&gt;0),Data!AI173,"")</f>
      </c>
      <c r="U35" s="308">
        <f>IF(AND(C35&lt;&gt;"",C35&gt;0),Data!AH173,"")</f>
      </c>
      <c r="V35" s="308"/>
      <c r="W35" s="308"/>
      <c r="X35" s="308"/>
      <c r="Y35" s="308"/>
      <c r="Z35" s="309">
        <f>IF(SUM(O35:Y35)=0,"",SUM(O35:Y35))</f>
      </c>
      <c r="AA35" s="308"/>
      <c r="AB35" s="308">
        <f>IF(ISERROR(C35-O35-S35-T35),"",C35-O35-S35-T35)</f>
      </c>
      <c r="AC35" s="308"/>
      <c r="AD35" s="308"/>
      <c r="AE35" s="308">
        <f t="shared" si="29"/>
      </c>
      <c r="AF35" s="308">
        <f>IF(ISERROR(H35-U35),"",H35-U35)</f>
      </c>
      <c r="AG35" s="308"/>
      <c r="AH35" s="308"/>
      <c r="AI35" s="308"/>
      <c r="AJ35" s="308"/>
      <c r="AK35" s="308"/>
      <c r="AL35" s="309">
        <f>IF(SUM(AB35:AJ35)=0,"",SUM(AB35:AJ35))</f>
      </c>
      <c r="AM35" s="308"/>
      <c r="AN35" s="310">
        <f t="shared" si="36"/>
      </c>
      <c r="AO35" s="310">
        <f>IF(ISERROR(IF(OR(Data!$Z$111=1,Data!$Z$111=2,Data!$Z$111=4),Salary!AN35,ROUND((Salary!AB35+Salary!AE35)*10%,0))),"",IF(OR(Data!$Z$111=1,Data!$Z$111=2,Data!$Z$111=4),Salary!AN35,ROUND((Salary!AB35+Salary!AE35)*10%,0)))</f>
      </c>
      <c r="AP35" s="311">
        <f t="shared" si="37"/>
      </c>
    </row>
    <row r="36" spans="1:42" ht="15">
      <c r="A36" s="529" t="str">
        <f>IF(C36="","","SL("&amp;Data!$AK$183&amp;Data!$V$183&amp;")")</f>
        <v>SL(1M Jul-2014)</v>
      </c>
      <c r="B36" s="529"/>
      <c r="C36" s="305">
        <f>IF(AND(Data!T183&gt;=13,Data!T183&lt;=21),Data!AG183,"")</f>
        <v>40270</v>
      </c>
      <c r="D36" s="305"/>
      <c r="E36" s="305"/>
      <c r="F36" s="305"/>
      <c r="G36" s="305">
        <f>IF(AND(Data!T183&gt;=13,Data!T183&lt;=21),Data!AH183,"")</f>
        <v>3587</v>
      </c>
      <c r="H36" s="305">
        <f>IF(AND(Data!T183&gt;=13,Data!T183&lt;=21),Data!AI183,"")</f>
        <v>8054</v>
      </c>
      <c r="I36" s="305"/>
      <c r="J36" s="305"/>
      <c r="K36" s="305"/>
      <c r="L36" s="305"/>
      <c r="M36" s="305">
        <f>IF(C36&lt;&gt;"",SUM(C36:L36),"")</f>
        <v>51911</v>
      </c>
      <c r="N36" s="305"/>
      <c r="O36" s="305">
        <f>IF(AND(C36&lt;&gt;"",C36&gt;0),Data!X183,"")</f>
        <v>19050</v>
      </c>
      <c r="P36" s="305"/>
      <c r="Q36" s="305"/>
      <c r="R36" s="305"/>
      <c r="S36" s="305">
        <f>IF(AND(C36&lt;&gt;"",C36&gt;0),Data!Y183,"")</f>
        <v>14839</v>
      </c>
      <c r="T36" s="305">
        <f>IF(AND(C36&lt;&gt;"",C36&gt;0),Data!AA183,"")</f>
        <v>5144</v>
      </c>
      <c r="U36" s="305">
        <f>IF(AND(C36&lt;&gt;"",C36&gt;0),Data!Z183,"")</f>
        <v>3810</v>
      </c>
      <c r="V36" s="305"/>
      <c r="W36" s="305"/>
      <c r="X36" s="305"/>
      <c r="Y36" s="305"/>
      <c r="Z36" s="306">
        <f>IF(SUM(O36:Y36)=0,"",SUM(O36:Y36))</f>
        <v>42843</v>
      </c>
      <c r="AA36" s="305"/>
      <c r="AB36" s="305">
        <f>IF(ISERROR(C36-O36-S36-T36),"",C36-O36-S36-T36)</f>
        <v>1237</v>
      </c>
      <c r="AC36" s="305"/>
      <c r="AD36" s="305"/>
      <c r="AE36" s="305">
        <f t="shared" si="29"/>
        <v>3587</v>
      </c>
      <c r="AF36" s="305">
        <f>IF(ISERROR(H36-U36),"",H36-U36)</f>
        <v>4244</v>
      </c>
      <c r="AG36" s="305"/>
      <c r="AH36" s="305"/>
      <c r="AI36" s="305"/>
      <c r="AJ36" s="305"/>
      <c r="AK36" s="305"/>
      <c r="AL36" s="306">
        <f>IF(SUM(AB36:AJ36)=0,"",SUM(AB36:AJ36))</f>
        <v>9068</v>
      </c>
      <c r="AM36" s="305"/>
      <c r="AN36" s="307">
        <f t="shared" si="36"/>
        <v>9068</v>
      </c>
      <c r="AO36" s="307">
        <f>IF(ISERROR(IF(OR(Data!$Z$111=1,Data!$Z$111=2,Data!$Z$111=4),Salary!AN36,ROUND((Salary!AB36+Salary!AE36)*10%,0))),"",IF(OR(Data!$Z$111=1,Data!$Z$111=2,Data!$Z$111=4),Salary!AN36,ROUND((Salary!AB36+Salary!AE36)*10%,0)))</f>
        <v>482</v>
      </c>
      <c r="AP36" s="307">
        <f t="shared" si="37"/>
        <v>8586</v>
      </c>
    </row>
    <row r="37" spans="1:42" ht="15">
      <c r="A37" s="518" t="s">
        <v>696</v>
      </c>
      <c r="B37" s="519"/>
      <c r="C37" s="305">
        <f>SUM(C25:C36)</f>
        <v>405798</v>
      </c>
      <c r="D37" s="305">
        <f aca="true" t="shared" si="41" ref="D37:AA37">SUM(D25:D36)</f>
        <v>2310</v>
      </c>
      <c r="E37" s="305">
        <f t="shared" si="41"/>
        <v>450</v>
      </c>
      <c r="F37" s="305"/>
      <c r="G37" s="305">
        <f t="shared" si="41"/>
        <v>34719</v>
      </c>
      <c r="H37" s="305">
        <f t="shared" si="41"/>
        <v>65411</v>
      </c>
      <c r="I37" s="305">
        <f t="shared" si="41"/>
        <v>1125</v>
      </c>
      <c r="J37" s="305">
        <f t="shared" si="41"/>
        <v>0</v>
      </c>
      <c r="K37" s="305">
        <f t="shared" si="41"/>
        <v>0</v>
      </c>
      <c r="L37" s="305">
        <f t="shared" si="41"/>
        <v>0</v>
      </c>
      <c r="M37" s="305">
        <f t="shared" si="41"/>
        <v>509813</v>
      </c>
      <c r="N37" s="305">
        <f t="shared" si="41"/>
        <v>1800</v>
      </c>
      <c r="O37" s="305">
        <f t="shared" si="41"/>
        <v>191985</v>
      </c>
      <c r="P37" s="305">
        <f t="shared" si="41"/>
        <v>2310</v>
      </c>
      <c r="Q37" s="305">
        <f t="shared" si="41"/>
        <v>450</v>
      </c>
      <c r="R37" s="305"/>
      <c r="S37" s="305">
        <f t="shared" si="41"/>
        <v>148444</v>
      </c>
      <c r="T37" s="305">
        <f t="shared" si="41"/>
        <v>51840</v>
      </c>
      <c r="U37" s="305">
        <f t="shared" si="41"/>
        <v>30945</v>
      </c>
      <c r="V37" s="305">
        <f t="shared" si="41"/>
        <v>675</v>
      </c>
      <c r="W37" s="305">
        <f t="shared" si="41"/>
        <v>0</v>
      </c>
      <c r="X37" s="305">
        <f t="shared" si="41"/>
        <v>0</v>
      </c>
      <c r="Y37" s="305">
        <f t="shared" si="41"/>
        <v>0</v>
      </c>
      <c r="Z37" s="305">
        <f t="shared" si="41"/>
        <v>426649</v>
      </c>
      <c r="AA37" s="305">
        <f t="shared" si="41"/>
        <v>1800</v>
      </c>
      <c r="AB37" s="306">
        <f>SUM(AB25:AB36)</f>
        <v>13529</v>
      </c>
      <c r="AC37" s="306">
        <f aca="true" t="shared" si="42" ref="AC37:AM37">SUM(AC25:AC36)</f>
        <v>0</v>
      </c>
      <c r="AD37" s="306"/>
      <c r="AE37" s="306">
        <f t="shared" si="42"/>
        <v>34719</v>
      </c>
      <c r="AF37" s="306">
        <f>SUM(AF25:AF36)</f>
        <v>34466</v>
      </c>
      <c r="AG37" s="306">
        <f t="shared" si="42"/>
        <v>450</v>
      </c>
      <c r="AH37" s="306">
        <f>SUM(AH25:AH36)</f>
        <v>0</v>
      </c>
      <c r="AI37" s="306">
        <f>SUM(AI25:AI36)</f>
        <v>0</v>
      </c>
      <c r="AJ37" s="306">
        <f t="shared" si="42"/>
        <v>0</v>
      </c>
      <c r="AK37" s="306">
        <f t="shared" si="42"/>
        <v>0</v>
      </c>
      <c r="AL37" s="306">
        <f>SUM(AL25:AL36)</f>
        <v>83164</v>
      </c>
      <c r="AM37" s="306">
        <f t="shared" si="42"/>
        <v>0</v>
      </c>
      <c r="AN37" s="307">
        <f>IF(ISERROR(AL37-AM37),"",AL37-AM37)</f>
        <v>83164</v>
      </c>
      <c r="AO37" s="307">
        <f>SUM(AO25:AO36)</f>
        <v>9497</v>
      </c>
      <c r="AP37" s="307">
        <f>AN37-AO37</f>
        <v>73667</v>
      </c>
    </row>
    <row r="38" spans="1:42" ht="15">
      <c r="A38" s="529" t="s">
        <v>192</v>
      </c>
      <c r="B38" s="529"/>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231"/>
      <c r="AO38" s="231"/>
      <c r="AP38" s="231"/>
    </row>
    <row r="39" spans="1:42" ht="15">
      <c r="A39" s="259">
        <v>21</v>
      </c>
      <c r="B39" s="232" t="str">
        <f>Data!Y149</f>
        <v>Mar-2015</v>
      </c>
      <c r="C39" s="295">
        <f>Data!AJ149</f>
        <v>41380</v>
      </c>
      <c r="D39" s="295">
        <f>Data!$K$13</f>
        <v>330</v>
      </c>
      <c r="E39" s="295">
        <f>Data!$O$10</f>
        <v>50</v>
      </c>
      <c r="F39" s="295"/>
      <c r="G39" s="295">
        <f>ROUND(C39*VLOOKUP(A39,Data!$X$129:$AR$158,14,0)/100,0)</f>
        <v>3686</v>
      </c>
      <c r="H39" s="295">
        <f>IF(AND(OR(Data!AE147=12,Data!AE147=14.5,Data!AE147=20),ROUND(C39*Data!AE149/100,0)&gt;=15000),15000,IF(AND(Data!AE147=30,ROUND(C39*Data!AE149/100,0)&gt;=20000),20000,ROUND(C39*Data!AE149/100,0)))</f>
        <v>6000</v>
      </c>
      <c r="I39" s="295">
        <f>IF(B39&lt;&gt;"",I33,"")</f>
        <v>125</v>
      </c>
      <c r="J39" s="295">
        <f>Data!AN149</f>
        <v>0</v>
      </c>
      <c r="K39" s="295">
        <f>IF(Data!$AL$55=2,IF(ROUND(C39*10/100,0)&lt;=2000,ROUND(C39*10/100,0),2000),0)</f>
        <v>0</v>
      </c>
      <c r="L39" s="295"/>
      <c r="M39" s="295">
        <f>SUM(C39:L39)</f>
        <v>51571</v>
      </c>
      <c r="N39" s="295">
        <f>IF(M39&gt;20000,200,IF(M39&gt;15000,150,IF(M39&gt;10000,100,80)))</f>
        <v>200</v>
      </c>
      <c r="O39" s="295">
        <f>Data!AB149</f>
        <v>19580</v>
      </c>
      <c r="P39" s="295">
        <f aca="true" t="shared" si="43" ref="P39:Q43">D39</f>
        <v>330</v>
      </c>
      <c r="Q39" s="295">
        <f t="shared" si="43"/>
        <v>50</v>
      </c>
      <c r="R39" s="295"/>
      <c r="S39" s="295">
        <f>ROUND(O39*LOOKUP(A39,Data!$X$135:$X$164,Data!$AC$135:$AC$164)/100,0)</f>
        <v>15252</v>
      </c>
      <c r="T39" s="295">
        <f>ROUND(O39*27/100,0)</f>
        <v>5287</v>
      </c>
      <c r="U39" s="295">
        <f>IF(AND(OR(Data!AE148=12,Data!AE148=14.5,Data!AE148=20),ROUND(Salary!O39*Data!AE149/100,0)&gt;=8000),8000,IF(AND(Data!AE148=30,ROUND(Salary!O39*Data!AE149/100,0)&gt;=12000),12000,ROUND(Salary!O39*Data!AE149/100,0)))</f>
        <v>2839</v>
      </c>
      <c r="V39" s="295">
        <f>IF(U39&lt;&gt;"",V33,"")</f>
        <v>75</v>
      </c>
      <c r="W39" s="295">
        <f>Data!AH149</f>
        <v>0</v>
      </c>
      <c r="X39" s="295">
        <f>IF(Data!$AL$55=2,IF(ROUND(O39*10/100,0)&lt;=900,ROUND(O39*10/100,0),900),0)</f>
        <v>0</v>
      </c>
      <c r="Y39" s="295"/>
      <c r="Z39" s="296">
        <f>SUM(O39:Y39)</f>
        <v>43413</v>
      </c>
      <c r="AA39" s="295">
        <f>IF(Z39&gt;20000,200,IF(Z39&gt;15000,150,IF(Z39&gt;10000,100,80)))</f>
        <v>200</v>
      </c>
      <c r="AB39" s="295">
        <f>C39-O39-S39-T39</f>
        <v>1261</v>
      </c>
      <c r="AC39" s="295">
        <f>D39-P39</f>
        <v>0</v>
      </c>
      <c r="AD39" s="295">
        <v>0</v>
      </c>
      <c r="AE39" s="295">
        <f aca="true" t="shared" si="44" ref="AE39:AE46">G39</f>
        <v>3686</v>
      </c>
      <c r="AF39" s="295">
        <f aca="true" t="shared" si="45" ref="AF39:AJ40">H39-U39</f>
        <v>3161</v>
      </c>
      <c r="AG39" s="295">
        <f t="shared" si="45"/>
        <v>50</v>
      </c>
      <c r="AH39" s="295">
        <f t="shared" si="45"/>
        <v>0</v>
      </c>
      <c r="AI39" s="295">
        <f t="shared" si="45"/>
        <v>0</v>
      </c>
      <c r="AJ39" s="295">
        <f t="shared" si="45"/>
        <v>0</v>
      </c>
      <c r="AK39" s="295"/>
      <c r="AL39" s="296">
        <f>SUM(AB39:AJ39)</f>
        <v>8158</v>
      </c>
      <c r="AM39" s="295">
        <f>N39-AA39</f>
        <v>0</v>
      </c>
      <c r="AN39" s="297">
        <f>IF(ISERROR(AL39-AM39),"",AL39-AM39)</f>
        <v>8158</v>
      </c>
      <c r="AO39" s="297">
        <f>IF(ISERROR(IF(OR(Data!$Z$111=1,Data!$Z$111=2,Data!$Z$111=4),"",ROUND((C39+G39)*10%,0)-ROUND((O39+S39)*10%,0))),"",IF(OR(Data!$Z$111=1,Data!$Z$111=2,Data!$Z$111=4),"",ROUND((C39+G39)*10%,0)-ROUND((O39+S39)*10%,0)))</f>
        <v>1024</v>
      </c>
      <c r="AP39" s="298">
        <f>AN39</f>
        <v>8158</v>
      </c>
    </row>
    <row r="40" spans="1:42" ht="15">
      <c r="A40" s="260">
        <v>22</v>
      </c>
      <c r="B40" s="234" t="str">
        <f>Data!Y150</f>
        <v>Apr-2015</v>
      </c>
      <c r="C40" s="301">
        <f>Data!AJ150</f>
        <v>41380</v>
      </c>
      <c r="D40" s="301">
        <f>Data!$K$13</f>
        <v>330</v>
      </c>
      <c r="E40" s="301">
        <f>Data!$O$10</f>
        <v>50</v>
      </c>
      <c r="F40" s="301"/>
      <c r="G40" s="301">
        <f>ROUND(C40*VLOOKUP(A40,Data!$X$129:$AR$158,14,0)/100,0)</f>
        <v>3686</v>
      </c>
      <c r="H40" s="295">
        <f>IF(AND(OR(Data!AE148=12,Data!AE148=14.5,Data!AE148=20),ROUND(C40*Data!AE150/100,0)&gt;=15000),15000,IF(AND(Data!AE148=30,ROUND(C40*Data!AE150/100,0)&gt;=20000),20000,ROUND(C40*Data!AE150/100,0)))</f>
        <v>6000</v>
      </c>
      <c r="I40" s="301">
        <f>IF(B40&lt;&gt;"",I39,"")</f>
        <v>125</v>
      </c>
      <c r="J40" s="301">
        <f>Data!AN150</f>
        <v>0</v>
      </c>
      <c r="K40" s="301">
        <f>IF(Data!$AL$55=2,IF(ROUND(C40*10/100,0)&lt;=2000,ROUND(C40*10/100,0),2000),0)</f>
        <v>0</v>
      </c>
      <c r="L40" s="301"/>
      <c r="M40" s="301">
        <f>SUM(C40:L40)</f>
        <v>51571</v>
      </c>
      <c r="N40" s="301">
        <f t="shared" si="22"/>
        <v>200</v>
      </c>
      <c r="O40" s="301">
        <f>Data!AB150</f>
        <v>19580</v>
      </c>
      <c r="P40" s="301">
        <f t="shared" si="43"/>
        <v>330</v>
      </c>
      <c r="Q40" s="301">
        <f t="shared" si="43"/>
        <v>50</v>
      </c>
      <c r="R40" s="301"/>
      <c r="S40" s="301">
        <f>IF(A40="","",ROUND(O40*LOOKUP(A40,Data!$X$135:$X$164,Data!$AC$135:$AC$164)/100,0))</f>
        <v>15252</v>
      </c>
      <c r="T40" s="301">
        <f>ROUND(O40*27/100,0)</f>
        <v>5287</v>
      </c>
      <c r="U40" s="295">
        <f>IF(AND(OR(Data!AE149=12,Data!AE149=14.5,Data!AE149=20),ROUND(Salary!O40*Data!AE150/100,0)&gt;=8000),8000,IF(AND(Data!AE149=30,ROUND(Salary!O40*Data!AE150/100,0)&gt;=12000),12000,ROUND(Salary!O40*Data!AE150/100,0)))</f>
        <v>2839</v>
      </c>
      <c r="V40" s="301">
        <f>IF(U40&lt;&gt;"",V39,"")</f>
        <v>75</v>
      </c>
      <c r="W40" s="301">
        <f>Data!AH150</f>
        <v>0</v>
      </c>
      <c r="X40" s="301">
        <f>IF(Data!$AL$55=2,IF(ROUND(O40*10/100,0)&lt;=900,ROUND(O40*10/100,0),900),0)</f>
        <v>0</v>
      </c>
      <c r="Y40" s="301"/>
      <c r="Z40" s="301">
        <f>SUM(O40:Y40)</f>
        <v>43413</v>
      </c>
      <c r="AA40" s="301">
        <f t="shared" si="26"/>
        <v>200</v>
      </c>
      <c r="AB40" s="301">
        <f>C40-O40-S40-T40</f>
        <v>1261</v>
      </c>
      <c r="AC40" s="301">
        <f>D40-P40</f>
        <v>0</v>
      </c>
      <c r="AD40" s="301">
        <f>IF(AB40&lt;&gt;"",0,"")</f>
        <v>0</v>
      </c>
      <c r="AE40" s="301">
        <f t="shared" si="44"/>
        <v>3686</v>
      </c>
      <c r="AF40" s="301">
        <f t="shared" si="45"/>
        <v>3161</v>
      </c>
      <c r="AG40" s="301">
        <f t="shared" si="45"/>
        <v>50</v>
      </c>
      <c r="AH40" s="301">
        <f t="shared" si="45"/>
        <v>0</v>
      </c>
      <c r="AI40" s="301">
        <f t="shared" si="45"/>
        <v>0</v>
      </c>
      <c r="AJ40" s="301">
        <f t="shared" si="45"/>
        <v>0</v>
      </c>
      <c r="AK40" s="301"/>
      <c r="AL40" s="301">
        <f t="shared" si="16"/>
        <v>8158</v>
      </c>
      <c r="AM40" s="301">
        <f>N40-AA40</f>
        <v>0</v>
      </c>
      <c r="AN40" s="303">
        <f t="shared" si="36"/>
        <v>8158</v>
      </c>
      <c r="AO40" s="297">
        <f>IF(ISERROR(IF(OR(Data!$Z$111=1,Data!$Z$111=2,Data!$Z$111=4),"",ROUND((C40+G40)*10%,0)-ROUND((O40+S40)*10%,0))),"",IF(OR(Data!$Z$111=1,Data!$Z$111=2,Data!$Z$111=4),"",ROUND((C40+G40)*10%,0)-ROUND((O40+S40)*10%,0)))</f>
        <v>1024</v>
      </c>
      <c r="AP40" s="304">
        <f aca="true" t="shared" si="46" ref="AP40:AP45">AN40</f>
        <v>8158</v>
      </c>
    </row>
    <row r="41" spans="1:42" ht="15" hidden="1">
      <c r="A41" s="260">
        <f>Data!X88</f>
      </c>
      <c r="B41" s="234">
        <f>IF(A41="","",Data!Y151)</f>
      </c>
      <c r="C41" s="301">
        <f>IF(A41="","",Data!AJ151)</f>
      </c>
      <c r="D41" s="301">
        <f>IF(A41="","",Data!$K$13)</f>
      </c>
      <c r="E41" s="301">
        <f>IF(A41="","",Data!$O$10)</f>
      </c>
      <c r="F41" s="301"/>
      <c r="G41" s="301">
        <f>IF(A41="","",ROUND(C41*VLOOKUP(A41,Data!$X$129:$AR$158,14,0)/100,0))</f>
      </c>
      <c r="H41" s="295">
        <f>IF(C41="","",IF(AND(OR(Data!AE149=12,Data!AE149=14.5,Data!AE149=20),ROUND(C41*Data!AE151/100,0)&gt;=15000),15000,IF(AND(Data!AE149=30,ROUND(C41*Data!AE151/100,0)&gt;=20000),20000,ROUND(C41*Data!AE151/100,0))))</f>
      </c>
      <c r="I41" s="301">
        <f>IF(B41&lt;&gt;"",I40,"")</f>
      </c>
      <c r="J41" s="301">
        <f>IF(A41="","",Data!AN151)</f>
      </c>
      <c r="K41" s="301">
        <f>IF(A41="","",IF(Data!$AL$55=2,IF(ROUND(C41*10/100,0)&lt;=2000,ROUND(C41*10/100,0),2000),0))</f>
      </c>
      <c r="L41" s="301">
        <f>IF(A41="","",L40)</f>
      </c>
      <c r="M41" s="301">
        <f>IF(A41="","",SUM(C41:L41))</f>
      </c>
      <c r="N41" s="301">
        <f>IF(A41="","",IF(M41&gt;20000,200,IF(M41&gt;15000,150,IF(M41&gt;10000,100,80))))</f>
      </c>
      <c r="O41" s="301">
        <f>IF(A41="","",Data!AB151)</f>
      </c>
      <c r="P41" s="301">
        <f t="shared" si="43"/>
      </c>
      <c r="Q41" s="301">
        <f t="shared" si="43"/>
      </c>
      <c r="R41" s="301"/>
      <c r="S41" s="301">
        <f>IF(A41="","",ROUND(O41*LOOKUP(A41,Data!$X$135:$X$164,Data!$AC$135:$AC$164)/100,0))</f>
      </c>
      <c r="T41" s="301">
        <f>IF(A41="","",ROUND(O41*27/100,0))</f>
      </c>
      <c r="U41" s="295">
        <f>IF(O41="","",IF(AND(OR(Data!AE150=12,Data!AE150=14.5,Data!AE150=20),ROUND(Salary!O41*Data!AE151/100,0)&gt;=8000),8000,IF(AND(Data!AE150=30,ROUND(Salary!O41*Data!AE151/100,0)&gt;=12000),12000,ROUND(Salary!O41*Data!AE151/100,0))))</f>
      </c>
      <c r="V41" s="301">
        <f>IF(U41&lt;&gt;"",V40,"")</f>
      </c>
      <c r="W41" s="301">
        <f>IF(A41="","",Data!AH151)</f>
      </c>
      <c r="X41" s="301">
        <f>IF(A41="","",IF(Data!$AL$55=2,IF(ROUND(O41*10/100,0)&lt;=900,ROUND(O41*10/100,0),900),0))</f>
      </c>
      <c r="Y41" s="301"/>
      <c r="Z41" s="301">
        <f>IF(A41="","",SUM(O41:Y41))</f>
      </c>
      <c r="AA41" s="301">
        <f>IF(A41="","",IF(Z41&gt;20000,200,IF(Z41&gt;15000,150,IF(Z41&gt;10000,100,80))))</f>
      </c>
      <c r="AB41" s="301">
        <f>IF(A41="","",C41-O41-S41-T41)</f>
      </c>
      <c r="AC41" s="301">
        <f>IF(ISERROR(D41-P41),"",D41-P41)</f>
      </c>
      <c r="AD41" s="301">
        <f>IF(AB41&lt;&gt;"",0,"")</f>
      </c>
      <c r="AE41" s="301">
        <f t="shared" si="44"/>
      </c>
      <c r="AF41" s="301">
        <f>IF(A41="","",H41-U41)</f>
      </c>
      <c r="AG41" s="301">
        <f>IF(AB41="","",I41-V41)</f>
      </c>
      <c r="AH41" s="301">
        <f>IF(A41="","",J41-W41)</f>
      </c>
      <c r="AI41" s="301">
        <f>IF(A41="","",K41-X41)</f>
      </c>
      <c r="AJ41" s="301">
        <f>IF(A41="","",L41-Y41)</f>
      </c>
      <c r="AK41" s="301"/>
      <c r="AL41" s="301">
        <f>IF(A41="","",SUM(AB41:AJ41))</f>
      </c>
      <c r="AM41" s="301">
        <f>IF(A41="","",N41-AA41)</f>
      </c>
      <c r="AN41" s="303">
        <f t="shared" si="36"/>
      </c>
      <c r="AO41" s="297">
        <f>IF(ISERROR(IF(OR(Data!$Z$111=1,Data!$Z$111=2,Data!$Z$111=4),"",ROUND((C41+G41)*10%,0)-ROUND((O41+S41)*10%,0))),"",IF(OR(Data!$Z$111=1,Data!$Z$111=2,Data!$Z$111=4),"",ROUND((C41+G41)*10%,0)-ROUND((O41+S41)*10%,0)))</f>
      </c>
      <c r="AP41" s="304">
        <f t="shared" si="46"/>
      </c>
    </row>
    <row r="42" spans="1:42" ht="15" hidden="1">
      <c r="A42" s="260">
        <f>Data!X89</f>
      </c>
      <c r="B42" s="234">
        <f>IF(A42="","",Data!Y152)</f>
      </c>
      <c r="C42" s="301">
        <f>IF(A42="","",Data!AJ152)</f>
      </c>
      <c r="D42" s="301">
        <f>IF(A42="","",Data!$K$13)</f>
      </c>
      <c r="E42" s="301">
        <f>IF(A42="","",Data!$O$10)</f>
      </c>
      <c r="F42" s="301"/>
      <c r="G42" s="301">
        <f>IF(A42="","",ROUND(C42*VLOOKUP(A42,Data!$X$129:$AR$158,14,0)/100,0))</f>
      </c>
      <c r="H42" s="295">
        <f>IF(C42="","",IF(AND(OR(Data!AE150=12,Data!AE150=14.5,Data!AE150=20),ROUND(C42*Data!AE152/100,0)&gt;=15000),15000,IF(AND(Data!AE150=30,ROUND(C42*Data!AE152/100,0)&gt;=20000),20000,ROUND(C42*Data!AE152/100,0))))</f>
      </c>
      <c r="I42" s="301">
        <f>IF(B42&lt;&gt;"",I41,"")</f>
      </c>
      <c r="J42" s="301">
        <f>IF(A42="","",Data!AN152)</f>
      </c>
      <c r="K42" s="301">
        <f>IF(A42="","",IF(Data!$AL$55=2,IF(ROUND(C42*10/100,0)&lt;=2000,ROUND(C42*10/100,0),2000),0))</f>
      </c>
      <c r="L42" s="301">
        <f>IF(A42="","",L41)</f>
      </c>
      <c r="M42" s="301">
        <f>IF(A42="","",SUM(C42:L42))</f>
      </c>
      <c r="N42" s="301">
        <f>IF(A42="","",IF(M42&gt;20000,200,IF(M42&gt;15000,150,IF(M42&gt;10000,100,80))))</f>
      </c>
      <c r="O42" s="301">
        <f>IF(A42="","",Data!AB152)</f>
      </c>
      <c r="P42" s="301">
        <f t="shared" si="43"/>
      </c>
      <c r="Q42" s="301">
        <f t="shared" si="43"/>
      </c>
      <c r="R42" s="301"/>
      <c r="S42" s="301">
        <f>IF(A42="","",ROUND(O42*LOOKUP(A42,Data!$X$135:$X$164,Data!$AC$135:$AC$164)/100,0))</f>
      </c>
      <c r="T42" s="301">
        <f>IF(A42="","",ROUND(O42*27/100,0))</f>
      </c>
      <c r="U42" s="295">
        <f>IF(O42="","",IF(AND(OR(Data!AE151=12,Data!AE151=14.5,Data!AE151=20),ROUND(Salary!O42*Data!AE152/100,0)&gt;=8000),8000,IF(AND(Data!AE151=30,ROUND(Salary!O42*Data!AE152/100,0)&gt;=12000),12000,ROUND(Salary!O42*Data!AE152/100,0))))</f>
      </c>
      <c r="V42" s="301">
        <f>IF(U42&lt;&gt;"",V41,"")</f>
      </c>
      <c r="W42" s="301">
        <f>IF(A42="","",Data!AH152)</f>
      </c>
      <c r="X42" s="301">
        <f>IF(A42="","",IF(Data!$AL$55=2,IF(ROUND(O42*10/100,0)&lt;=900,ROUND(O42*10/100,0),900),0))</f>
      </c>
      <c r="Y42" s="301"/>
      <c r="Z42" s="301">
        <f>IF(A42="","",SUM(O42:Y42))</f>
      </c>
      <c r="AA42" s="301">
        <f>IF(A42="","",IF(Z42&gt;20000,200,IF(Z42&gt;15000,150,IF(Z42&gt;10000,100,80))))</f>
      </c>
      <c r="AB42" s="301">
        <f>IF(A42="","",C42-O42-S42-T42)</f>
      </c>
      <c r="AC42" s="301">
        <f>IF(ISERROR(D42-P42),"",D42-P42)</f>
      </c>
      <c r="AD42" s="301">
        <f>IF(AB42&lt;&gt;"",0,"")</f>
      </c>
      <c r="AE42" s="301">
        <f t="shared" si="44"/>
      </c>
      <c r="AF42" s="301">
        <f>IF(A42="","",H42-U42)</f>
      </c>
      <c r="AG42" s="301">
        <f>IF(AB42="","",I42-V42)</f>
      </c>
      <c r="AH42" s="301">
        <f>IF(A42="","",J42-W42)</f>
      </c>
      <c r="AI42" s="301">
        <f>IF(A42="","",K42-X42)</f>
      </c>
      <c r="AJ42" s="301">
        <f>IF(A42="","",L42-Y42)</f>
      </c>
      <c r="AK42" s="301"/>
      <c r="AL42" s="301">
        <f>IF(A42="","",SUM(AB42:AJ42))</f>
      </c>
      <c r="AM42" s="301">
        <f>IF(A42="","",N42-AA42)</f>
      </c>
      <c r="AN42" s="303">
        <f t="shared" si="36"/>
      </c>
      <c r="AO42" s="297">
        <f>IF(ISERROR(IF(OR(Data!$Z$111=1,Data!$Z$111=2,Data!$Z$111=4),"",ROUND((C42+G42)*10%,0)-ROUND((O42+S42)*10%,0))),"",IF(OR(Data!$Z$111=1,Data!$Z$111=2,Data!$Z$111=4),"",ROUND((C42+G42)*10%,0)-ROUND((O42+S42)*10%,0)))</f>
      </c>
      <c r="AP42" s="304">
        <f t="shared" si="46"/>
      </c>
    </row>
    <row r="43" spans="1:42" ht="15" hidden="1">
      <c r="A43" s="260">
        <f>Data!X90</f>
      </c>
      <c r="B43" s="234">
        <f>IF(A43="","",Data!Y153)</f>
      </c>
      <c r="C43" s="301">
        <f>IF(A43="","",Data!AJ153)</f>
      </c>
      <c r="D43" s="301">
        <f>IF(A43="","",Data!$K$13)</f>
      </c>
      <c r="E43" s="301">
        <f>IF(A43="","",Data!$O$10)</f>
      </c>
      <c r="F43" s="301"/>
      <c r="G43" s="301">
        <f>IF(A43="","",ROUND(C43*VLOOKUP(A43,Data!$X$129:$AR$158,14,0)/100,0))</f>
      </c>
      <c r="H43" s="295">
        <f>IF(C43="","",IF(AND(OR(Data!AE151=12,Data!AE151=14.5,Data!AE151=20),ROUND(C43*Data!AE153/100,0)&gt;=15000),15000,IF(AND(Data!AE151=30,ROUND(C43*Data!AE153/100,0)&gt;=20000),20000,ROUND(C43*Data!AE153/100,0))))</f>
      </c>
      <c r="I43" s="301">
        <f>IF(B43&lt;&gt;"",I42,"")</f>
      </c>
      <c r="J43" s="301">
        <f>IF(A43="","",Data!AN153)</f>
      </c>
      <c r="K43" s="301">
        <f>IF(A43="","",IF(Data!$AL$55=2,IF(ROUND(C43*10/100,0)&lt;=2000,ROUND(C43*10/100,0),2000),0))</f>
      </c>
      <c r="L43" s="301">
        <f>IF(A43="","",L42)</f>
      </c>
      <c r="M43" s="301">
        <f>IF(A43="","",SUM(C43:L43))</f>
      </c>
      <c r="N43" s="301">
        <f>IF(A43="","",IF(M43&gt;20000,200,IF(M43&gt;15000,150,IF(M43&gt;10000,100,80))))</f>
      </c>
      <c r="O43" s="301">
        <f>IF(A43="","",Data!AB153)</f>
      </c>
      <c r="P43" s="301">
        <f t="shared" si="43"/>
      </c>
      <c r="Q43" s="301">
        <f t="shared" si="43"/>
      </c>
      <c r="R43" s="301"/>
      <c r="S43" s="301">
        <f>IF(A43="","",ROUND(O43*LOOKUP(A43,Data!$X$135:$X$164,Data!$AC$135:$AC$164)/100,0))</f>
      </c>
      <c r="T43" s="301">
        <f>IF(A43="","",ROUND(O43*27/100,0))</f>
      </c>
      <c r="U43" s="295">
        <f>IF(O43="","",IF(AND(OR(Data!AE152=12,Data!AE152=14.5,Data!AE152=20),ROUND(Salary!O43*Data!AE153/100,0)&gt;=8000),8000,IF(AND(Data!AE152=30,ROUND(Salary!O43*Data!AE153/100,0)&gt;=12000),12000,ROUND(Salary!O43*Data!AE153/100,0))))</f>
      </c>
      <c r="V43" s="301">
        <f>IF(U43&lt;&gt;"",V42,"")</f>
      </c>
      <c r="W43" s="301">
        <f>IF(A43="","",Data!AH153)</f>
      </c>
      <c r="X43" s="301">
        <f>IF(A43="","",IF(Data!$AL$55=2,IF(ROUND(O43*10/100,0)&lt;=900,ROUND(O43*10/100,0),900),0))</f>
      </c>
      <c r="Y43" s="301"/>
      <c r="Z43" s="301">
        <f>IF(A43="","",SUM(O43:Y43))</f>
      </c>
      <c r="AA43" s="301">
        <f>IF(A43="","",IF(Z43&gt;20000,200,IF(Z43&gt;15000,150,IF(Z43&gt;10000,100,80))))</f>
      </c>
      <c r="AB43" s="301">
        <f>IF(A43="","",C43-O43-S43-T43)</f>
      </c>
      <c r="AC43" s="301">
        <f>IF(ISERROR(D43-P43),"",D43-P43)</f>
      </c>
      <c r="AD43" s="301">
        <f>IF(AB43&lt;&gt;"",0,"")</f>
      </c>
      <c r="AE43" s="301">
        <f t="shared" si="44"/>
      </c>
      <c r="AF43" s="301">
        <f>IF(A43="","",H43-U43)</f>
      </c>
      <c r="AG43" s="301">
        <f>IF(ISERROR(I43-V43),"",I43-V43)</f>
      </c>
      <c r="AH43" s="301">
        <f>IF(A43="","",J43-W43)</f>
      </c>
      <c r="AI43" s="301">
        <f>IF(A43="","",K43-X43)</f>
      </c>
      <c r="AJ43" s="301">
        <f>IF(A43="","",L43-Y43)</f>
      </c>
      <c r="AK43" s="301"/>
      <c r="AL43" s="301">
        <f>IF(A43="","",SUM(AB43:AJ43))</f>
      </c>
      <c r="AM43" s="301">
        <f>IF(A43="","",N43-AA43)</f>
      </c>
      <c r="AN43" s="303">
        <f t="shared" si="36"/>
      </c>
      <c r="AO43" s="297">
        <f>IF(ISERROR(IF(OR(Data!$Z$111=1,Data!$Z$111=2,Data!$Z$111=4),"",ROUND((C43+G43)*10%,0)-ROUND((O43+S43)*10%,0))),"",IF(OR(Data!$Z$111=1,Data!$Z$111=2,Data!$Z$111=4),"",ROUND((C43+G43)*10%,0)-ROUND((O43+S43)*10%,0)))</f>
      </c>
      <c r="AP43" s="304">
        <f t="shared" si="46"/>
      </c>
    </row>
    <row r="44" spans="1:42" ht="15" hidden="1">
      <c r="A44" s="260">
        <f>IF(C44&lt;&gt;"","AAS("&amp;Data!AD167&amp;")","")</f>
      </c>
      <c r="B44" s="234"/>
      <c r="C44" s="301">
        <f>IF(ISERROR(IF(Data!X167&gt;22,Data!AM168,"")),"",IF(Data!X167&gt;22,Data!AM168,""))</f>
      </c>
      <c r="D44" s="301"/>
      <c r="E44" s="301">
        <f>IF(A44="","",Data!$O$10)</f>
      </c>
      <c r="F44" s="301"/>
      <c r="G44" s="301">
        <f>IF(ISERROR(IF(Data!X167&gt;22,Data!AN168,"")),"",IF(Data!X167&gt;22,Data!AN168,""))</f>
      </c>
      <c r="H44" s="301">
        <f>IF(ISERROR(IF(Data!X167&gt;22,Data!AO168,"")),"",IF(Data!X167&gt;22,Data!AO168,""))</f>
      </c>
      <c r="I44" s="301"/>
      <c r="J44" s="301"/>
      <c r="K44" s="301"/>
      <c r="L44" s="301"/>
      <c r="M44" s="301">
        <f>IF(SUM(C44:L44)=0,"",SUM(C44:L44))</f>
      </c>
      <c r="N44" s="301"/>
      <c r="O44" s="301">
        <f>IF(AND(C44&lt;&gt;"",C44&gt;0),Data!AF168,"")</f>
      </c>
      <c r="P44" s="301">
        <f>IF(D44="","",D44)</f>
      </c>
      <c r="Q44" s="301"/>
      <c r="R44" s="301"/>
      <c r="S44" s="301">
        <f>IF(A44="","",ROUND(O44*LOOKUP(A44,Data!X154:X183,Data!AC154:AC183)/100,0))</f>
      </c>
      <c r="T44" s="301">
        <f>IF(AND(C44&lt;&gt;"",C44&gt;0),Data!AI168,"")</f>
      </c>
      <c r="U44" s="301">
        <f>IF(AND(C44&lt;&gt;"",C44&gt;0),Data!AH168,"")</f>
      </c>
      <c r="V44" s="301"/>
      <c r="W44" s="301"/>
      <c r="X44" s="301"/>
      <c r="Y44" s="301"/>
      <c r="Z44" s="301">
        <f>IF(SUM(O44:Y44)=0,"",SUM(O44:Y44))</f>
      </c>
      <c r="AA44" s="301"/>
      <c r="AB44" s="301">
        <f>IF(ISERROR(C44-O44-S44-T44),"",C44-O44-S44-T44)</f>
      </c>
      <c r="AC44" s="301">
        <f>IF(ISERROR(D44-P44),"",D44-P44)</f>
      </c>
      <c r="AD44" s="301"/>
      <c r="AE44" s="301">
        <f t="shared" si="44"/>
      </c>
      <c r="AF44" s="301">
        <f>_xlfn.IFERROR((H44-U44),"")</f>
      </c>
      <c r="AG44" s="301"/>
      <c r="AH44" s="301"/>
      <c r="AI44" s="301"/>
      <c r="AJ44" s="301"/>
      <c r="AK44" s="301"/>
      <c r="AL44" s="301">
        <f>IF(SUM(AB44:AJ44)=0,"",SUM(AB44:AJ44))</f>
      </c>
      <c r="AM44" s="301"/>
      <c r="AN44" s="303">
        <f t="shared" si="36"/>
      </c>
      <c r="AO44" s="297">
        <f>IF(ISERROR(IF(OR(Data!$Z$111=1,Data!$Z$111=2,Data!$Z$111=4),"",ROUND((C44+G44)*10%,0)-ROUND((O44+S44)*10%,0))),"",IF(OR(Data!$Z$111=1,Data!$Z$111=2,Data!$Z$111=4),"",ROUND((C44+G44)*10%,0)-ROUND((O44+S44)*10%,0)))</f>
      </c>
      <c r="AP44" s="304">
        <f t="shared" si="46"/>
      </c>
    </row>
    <row r="45" spans="1:42" ht="15" hidden="1">
      <c r="A45" s="532">
        <f>IF(C45="","","Promo Arrs"&amp;Data!$AD$172)</f>
      </c>
      <c r="B45" s="533"/>
      <c r="C45" s="301">
        <f>IF(Data!X172&gt;=22,Data!AM173,"")</f>
      </c>
      <c r="D45" s="301"/>
      <c r="E45" s="301">
        <f>IF(A45="","",Data!$O$10)</f>
      </c>
      <c r="F45" s="301"/>
      <c r="G45" s="301">
        <f>IF(Data!X172&gt;22,Data!AN173,"")</f>
      </c>
      <c r="H45" s="301">
        <f>IF(Data!X172&gt;22,Data!AO173,"")</f>
      </c>
      <c r="I45" s="301"/>
      <c r="J45" s="301"/>
      <c r="K45" s="301"/>
      <c r="L45" s="301"/>
      <c r="M45" s="301">
        <f>IF(SUM(C45:L45)=0,"",SUM(C45:L45))</f>
      </c>
      <c r="N45" s="301"/>
      <c r="O45" s="301">
        <f>IF(AND(C45&lt;&gt;"",C45&gt;0),Data!AF173,"")</f>
      </c>
      <c r="P45" s="301">
        <f>IF(D45="","",D45)</f>
      </c>
      <c r="Q45" s="301"/>
      <c r="R45" s="301"/>
      <c r="S45" s="301">
        <f>IF(A45="","",ROUND(O45*LOOKUP(A45,Data!X155:X184,Data!AC155:AC184)/100,0))</f>
      </c>
      <c r="T45" s="301">
        <f>IF(AND(C45&lt;&gt;"",C45&gt;0),Data!AI173,"")</f>
      </c>
      <c r="U45" s="301">
        <f>IF(AND(C45&lt;&gt;"",C45&gt;0),Data!AH173,"")</f>
      </c>
      <c r="V45" s="301"/>
      <c r="W45" s="301"/>
      <c r="X45" s="301"/>
      <c r="Y45" s="301"/>
      <c r="Z45" s="301">
        <f>IF(SUM(O45:Y45)=0,"",SUM(O45:Y45))</f>
      </c>
      <c r="AA45" s="301"/>
      <c r="AB45" s="301">
        <f>IF(ISERROR(C45-O45-S45-T45),"",C45-O45-S45-T45)</f>
      </c>
      <c r="AC45" s="301"/>
      <c r="AD45" s="301"/>
      <c r="AE45" s="301">
        <f t="shared" si="44"/>
      </c>
      <c r="AF45" s="301">
        <f>_xlfn.IFERROR((H45-U45),"")</f>
      </c>
      <c r="AG45" s="301"/>
      <c r="AH45" s="301"/>
      <c r="AI45" s="301"/>
      <c r="AJ45" s="301"/>
      <c r="AK45" s="301"/>
      <c r="AL45" s="301">
        <f>IF(SUM(AB45:AJ45)=0,"",SUM(AB45:AJ45))</f>
      </c>
      <c r="AM45" s="301"/>
      <c r="AN45" s="303">
        <f t="shared" si="36"/>
      </c>
      <c r="AO45" s="303"/>
      <c r="AP45" s="304">
        <f t="shared" si="46"/>
      </c>
    </row>
    <row r="46" spans="1:42" ht="15" hidden="1">
      <c r="A46" s="534">
        <f>IF(C46="","","SL("&amp;Data!$AK$186&amp;Data!$V$186&amp;")")</f>
      </c>
      <c r="B46" s="535"/>
      <c r="C46" s="308">
        <f>IF(Data!T186&gt;=22,Data!AG186,"")</f>
      </c>
      <c r="D46" s="308"/>
      <c r="E46" s="308">
        <f>IF(A46="","",Data!$O$10)</f>
      </c>
      <c r="F46" s="308"/>
      <c r="G46" s="308">
        <f>IF(Data!T186&gt;=22,Data!AH186,"")</f>
      </c>
      <c r="H46" s="308">
        <f>IF(Data!T186&gt;=22,Data!AI186,"")</f>
      </c>
      <c r="I46" s="308"/>
      <c r="J46" s="308"/>
      <c r="K46" s="308"/>
      <c r="L46" s="308"/>
      <c r="M46" s="308">
        <f>IF(SUM(C46:L46)=0,"",SUM(C46:L46))</f>
      </c>
      <c r="N46" s="308"/>
      <c r="O46" s="308">
        <f>IF(AND(C46&lt;&gt;"",C46&gt;0),Data!X186,"")</f>
      </c>
      <c r="P46" s="308">
        <f>IF(D46="","",D46)</f>
      </c>
      <c r="Q46" s="308"/>
      <c r="R46" s="308"/>
      <c r="S46" s="308">
        <f>IF(AND(C46&lt;&gt;"",C46&gt;0),Data!Y186,"")</f>
      </c>
      <c r="T46" s="308">
        <f>IF(AND(C46&lt;&gt;"",C46&gt;0),Data!AA186,"")</f>
      </c>
      <c r="U46" s="308">
        <f>IF(AND(C46&lt;&gt;"",C46&gt;0),Data!Z186,"")</f>
      </c>
      <c r="V46" s="308"/>
      <c r="W46" s="308"/>
      <c r="X46" s="308"/>
      <c r="Y46" s="308"/>
      <c r="Z46" s="308">
        <f>IF(SUM(O46:Y46)=0,"",SUM(O46:Y46))</f>
      </c>
      <c r="AA46" s="308"/>
      <c r="AB46" s="308">
        <f>IF(ISERROR(C46-O46-S46-T46),"",C46-O46-S46-T46)</f>
      </c>
      <c r="AC46" s="308"/>
      <c r="AD46" s="308"/>
      <c r="AE46" s="308">
        <f t="shared" si="44"/>
      </c>
      <c r="AF46" s="308">
        <f>_xlfn.IFERROR((H46-U46),"")</f>
      </c>
      <c r="AG46" s="308"/>
      <c r="AH46" s="308"/>
      <c r="AI46" s="308"/>
      <c r="AJ46" s="308"/>
      <c r="AK46" s="308"/>
      <c r="AL46" s="308">
        <f>IF(SUM(AB46:AJ46)=0,"",SUM(AB46:AJ46))</f>
      </c>
      <c r="AM46" s="308"/>
      <c r="AN46" s="310">
        <f>IF(ISERROR(AL46-AM46),"",AL46-AM46)</f>
      </c>
      <c r="AO46" s="297">
        <f>IF(ISERROR(IF(OR(Data!$Z$111=1,Data!$Z$111=2,Data!$Z$111=4),"",ROUND((C46+G46)*10%,0)-ROUND((O46+S46)*10%,0))),"",IF(OR(Data!$Z$111=1,Data!$Z$111=2,Data!$Z$111=4),"",ROUND((C46+G46)*10%,0)-ROUND((O46+S46)*10%,0)))</f>
      </c>
      <c r="AP46" s="311">
        <f>AN46</f>
      </c>
    </row>
    <row r="47" spans="1:42" ht="15">
      <c r="A47" s="518" t="s">
        <v>697</v>
      </c>
      <c r="B47" s="519"/>
      <c r="C47" s="305">
        <f>SUM(C39:C46)</f>
        <v>82760</v>
      </c>
      <c r="D47" s="305">
        <f aca="true" t="shared" si="47" ref="D47:V47">SUM(D39:D46)</f>
        <v>660</v>
      </c>
      <c r="E47" s="305">
        <f t="shared" si="47"/>
        <v>100</v>
      </c>
      <c r="F47" s="305">
        <f t="shared" si="47"/>
        <v>0</v>
      </c>
      <c r="G47" s="305">
        <f t="shared" si="47"/>
        <v>7372</v>
      </c>
      <c r="H47" s="305">
        <f t="shared" si="47"/>
        <v>12000</v>
      </c>
      <c r="I47" s="305">
        <f t="shared" si="47"/>
        <v>250</v>
      </c>
      <c r="J47" s="305">
        <f t="shared" si="47"/>
        <v>0</v>
      </c>
      <c r="K47" s="305">
        <f t="shared" si="47"/>
        <v>0</v>
      </c>
      <c r="L47" s="305">
        <f t="shared" si="47"/>
        <v>0</v>
      </c>
      <c r="M47" s="305">
        <f t="shared" si="47"/>
        <v>103142</v>
      </c>
      <c r="N47" s="305">
        <f t="shared" si="47"/>
        <v>400</v>
      </c>
      <c r="O47" s="305">
        <f t="shared" si="47"/>
        <v>39160</v>
      </c>
      <c r="P47" s="305">
        <f t="shared" si="47"/>
        <v>660</v>
      </c>
      <c r="Q47" s="305">
        <f t="shared" si="47"/>
        <v>100</v>
      </c>
      <c r="R47" s="305">
        <f t="shared" si="47"/>
        <v>0</v>
      </c>
      <c r="S47" s="305">
        <f t="shared" si="47"/>
        <v>30504</v>
      </c>
      <c r="T47" s="305">
        <f t="shared" si="47"/>
        <v>10574</v>
      </c>
      <c r="U47" s="305">
        <f t="shared" si="47"/>
        <v>5678</v>
      </c>
      <c r="V47" s="305">
        <f t="shared" si="47"/>
        <v>150</v>
      </c>
      <c r="W47" s="305">
        <f aca="true" t="shared" si="48" ref="W47:AB47">SUM(W39:W46)</f>
        <v>0</v>
      </c>
      <c r="X47" s="305">
        <f t="shared" si="48"/>
        <v>0</v>
      </c>
      <c r="Y47" s="305">
        <f t="shared" si="48"/>
        <v>0</v>
      </c>
      <c r="Z47" s="305">
        <f t="shared" si="48"/>
        <v>86826</v>
      </c>
      <c r="AA47" s="305">
        <f t="shared" si="48"/>
        <v>400</v>
      </c>
      <c r="AB47" s="312">
        <f t="shared" si="48"/>
        <v>2522</v>
      </c>
      <c r="AC47" s="312">
        <f aca="true" t="shared" si="49" ref="AC47:AM47">SUM(AC39:AC46)</f>
        <v>0</v>
      </c>
      <c r="AD47" s="312"/>
      <c r="AE47" s="312">
        <f>SUM(AE39:AE46)</f>
        <v>7372</v>
      </c>
      <c r="AF47" s="312">
        <f>SUM(AF39:AF46)</f>
        <v>6322</v>
      </c>
      <c r="AG47" s="312">
        <f t="shared" si="49"/>
        <v>100</v>
      </c>
      <c r="AH47" s="312">
        <f t="shared" si="49"/>
        <v>0</v>
      </c>
      <c r="AI47" s="312">
        <f t="shared" si="49"/>
        <v>0</v>
      </c>
      <c r="AJ47" s="312">
        <f t="shared" si="49"/>
        <v>0</v>
      </c>
      <c r="AK47" s="312">
        <f t="shared" si="49"/>
        <v>0</v>
      </c>
      <c r="AL47" s="312">
        <f>SUM(AL39:AL46)</f>
        <v>16316</v>
      </c>
      <c r="AM47" s="312">
        <f t="shared" si="49"/>
        <v>0</v>
      </c>
      <c r="AN47" s="307">
        <f>IF(ISERROR(AL47-AM47),"",AL47-AM47)</f>
        <v>16316</v>
      </c>
      <c r="AO47" s="307">
        <f>SUM(AO39:AO46)</f>
        <v>2048</v>
      </c>
      <c r="AP47" s="307">
        <f>AN47-AO47</f>
        <v>14268</v>
      </c>
    </row>
    <row r="48" spans="1:42" ht="15">
      <c r="A48" s="541" t="s">
        <v>695</v>
      </c>
      <c r="B48" s="542"/>
      <c r="C48" s="305">
        <f>C37+C47</f>
        <v>488558</v>
      </c>
      <c r="D48" s="305">
        <f aca="true" t="shared" si="50" ref="D48:AA48">D37+D47</f>
        <v>2970</v>
      </c>
      <c r="E48" s="305">
        <f t="shared" si="50"/>
        <v>550</v>
      </c>
      <c r="F48" s="305">
        <f t="shared" si="50"/>
        <v>0</v>
      </c>
      <c r="G48" s="305">
        <f>G37+G47</f>
        <v>42091</v>
      </c>
      <c r="H48" s="305">
        <f t="shared" si="50"/>
        <v>77411</v>
      </c>
      <c r="I48" s="305">
        <f t="shared" si="50"/>
        <v>1375</v>
      </c>
      <c r="J48" s="305">
        <f t="shared" si="50"/>
        <v>0</v>
      </c>
      <c r="K48" s="305">
        <f t="shared" si="50"/>
        <v>0</v>
      </c>
      <c r="L48" s="305">
        <f t="shared" si="50"/>
        <v>0</v>
      </c>
      <c r="M48" s="305">
        <f t="shared" si="50"/>
        <v>612955</v>
      </c>
      <c r="N48" s="305">
        <f t="shared" si="50"/>
        <v>2200</v>
      </c>
      <c r="O48" s="305">
        <f>O37+O47</f>
        <v>231145</v>
      </c>
      <c r="P48" s="305">
        <f t="shared" si="50"/>
        <v>2970</v>
      </c>
      <c r="Q48" s="305">
        <f t="shared" si="50"/>
        <v>550</v>
      </c>
      <c r="R48" s="305">
        <f t="shared" si="50"/>
        <v>0</v>
      </c>
      <c r="S48" s="305">
        <f>S37+S47</f>
        <v>178948</v>
      </c>
      <c r="T48" s="305">
        <f t="shared" si="50"/>
        <v>62414</v>
      </c>
      <c r="U48" s="305">
        <f t="shared" si="50"/>
        <v>36623</v>
      </c>
      <c r="V48" s="305">
        <f t="shared" si="50"/>
        <v>825</v>
      </c>
      <c r="W48" s="305">
        <f t="shared" si="50"/>
        <v>0</v>
      </c>
      <c r="X48" s="305">
        <f t="shared" si="50"/>
        <v>0</v>
      </c>
      <c r="Y48" s="305">
        <f t="shared" si="50"/>
        <v>0</v>
      </c>
      <c r="Z48" s="305">
        <f t="shared" si="50"/>
        <v>513475</v>
      </c>
      <c r="AA48" s="305">
        <f t="shared" si="50"/>
        <v>2200</v>
      </c>
      <c r="AB48" s="306">
        <f>AB37+AB47</f>
        <v>16051</v>
      </c>
      <c r="AC48" s="306">
        <f aca="true" t="shared" si="51" ref="AC48:AM48">AC37+AC47</f>
        <v>0</v>
      </c>
      <c r="AD48" s="306"/>
      <c r="AE48" s="306">
        <f>AE37+AE47</f>
        <v>42091</v>
      </c>
      <c r="AF48" s="306">
        <f>AF37+AF47</f>
        <v>40788</v>
      </c>
      <c r="AG48" s="306">
        <f t="shared" si="51"/>
        <v>550</v>
      </c>
      <c r="AH48" s="306">
        <f>AH37+AH47</f>
        <v>0</v>
      </c>
      <c r="AI48" s="306">
        <f t="shared" si="51"/>
        <v>0</v>
      </c>
      <c r="AJ48" s="306">
        <f t="shared" si="51"/>
        <v>0</v>
      </c>
      <c r="AK48" s="306">
        <f t="shared" si="51"/>
        <v>0</v>
      </c>
      <c r="AL48" s="306">
        <f>AL37+AL47</f>
        <v>99480</v>
      </c>
      <c r="AM48" s="306">
        <f t="shared" si="51"/>
        <v>0</v>
      </c>
      <c r="AN48" s="306">
        <f>AN37+AN47</f>
        <v>99480</v>
      </c>
      <c r="AO48" s="313">
        <f>AO37+AO47</f>
        <v>11545</v>
      </c>
      <c r="AP48" s="307">
        <f>AN48-AO48</f>
        <v>87935</v>
      </c>
    </row>
    <row r="49" spans="1:25" ht="30" customHeight="1">
      <c r="A49" s="536" t="s">
        <v>701</v>
      </c>
      <c r="B49" s="536"/>
      <c r="C49" s="536"/>
      <c r="D49" s="536"/>
      <c r="E49" s="536"/>
      <c r="F49" s="536"/>
      <c r="G49" s="536"/>
      <c r="H49" s="536"/>
      <c r="I49" s="536"/>
      <c r="J49" s="536"/>
      <c r="K49" s="536"/>
      <c r="L49" s="536"/>
      <c r="M49" s="536"/>
      <c r="N49" s="536"/>
      <c r="O49" s="536"/>
      <c r="P49" s="536"/>
      <c r="Q49" s="536"/>
      <c r="R49" s="536"/>
      <c r="S49" s="536"/>
      <c r="T49" s="536"/>
      <c r="U49" s="536"/>
      <c r="V49" s="536"/>
      <c r="W49" s="536"/>
      <c r="X49" s="536"/>
      <c r="Y49" s="536"/>
    </row>
    <row r="50" ht="15">
      <c r="Y50" s="230" t="str">
        <f>"Passed Rs("&amp;AP48&amp;"/-) "&amp;words!O6&amp;" Only"</f>
        <v>Passed Rs(87935/-) Eighty seven Thousand Nine Hundred Thirty five Rupees Only</v>
      </c>
    </row>
    <row r="53" ht="15">
      <c r="AL53" s="230" t="s">
        <v>411</v>
      </c>
    </row>
  </sheetData>
  <sheetProtection password="DE3D" sheet="1" formatCells="0" formatColumns="0" formatRows="0" insertColumns="0" insertRows="0" insertHyperlinks="0" deleteColumns="0" deleteRows="0"/>
  <mergeCells count="27">
    <mergeCell ref="A49:Y49"/>
    <mergeCell ref="A45:B45"/>
    <mergeCell ref="A46:B46"/>
    <mergeCell ref="AN5:AN6"/>
    <mergeCell ref="AO5:AO6"/>
    <mergeCell ref="AP5:AP6"/>
    <mergeCell ref="AA5:AA6"/>
    <mergeCell ref="A23:B23"/>
    <mergeCell ref="A37:B37"/>
    <mergeCell ref="A48:B48"/>
    <mergeCell ref="A4:AP4"/>
    <mergeCell ref="A38:AM38"/>
    <mergeCell ref="A35:B35"/>
    <mergeCell ref="A24:AM24"/>
    <mergeCell ref="A36:B36"/>
    <mergeCell ref="AB5:AL5"/>
    <mergeCell ref="A21:B21"/>
    <mergeCell ref="A22:B22"/>
    <mergeCell ref="C5:M5"/>
    <mergeCell ref="O5:Z5"/>
    <mergeCell ref="A47:B47"/>
    <mergeCell ref="AM5:AM6"/>
    <mergeCell ref="N5:N6"/>
    <mergeCell ref="A5:A6"/>
    <mergeCell ref="B5:B6"/>
    <mergeCell ref="A20:B20"/>
    <mergeCell ref="A7:AM7"/>
  </mergeCells>
  <printOptions/>
  <pageMargins left="0.25" right="0.25" top="0.75" bottom="0.75" header="0.3" footer="0.3"/>
  <pageSetup fitToHeight="0" fitToWidth="1" horizontalDpi="600" verticalDpi="600" orientation="landscape" paperSize="9" scale="64" r:id="rId2"/>
  <drawing r:id="rId1"/>
</worksheet>
</file>

<file path=xl/worksheets/sheet3.xml><?xml version="1.0" encoding="utf-8"?>
<worksheet xmlns="http://schemas.openxmlformats.org/spreadsheetml/2006/main" xmlns:r="http://schemas.openxmlformats.org/officeDocument/2006/relationships">
  <sheetPr codeName="Sheet10"/>
  <dimension ref="A1:AE46"/>
  <sheetViews>
    <sheetView showGridLines="0" showRowColHeaders="0" zoomScalePageLayoutView="0" workbookViewId="0" topLeftCell="A1">
      <selection activeCell="AL22" sqref="AL22"/>
    </sheetView>
  </sheetViews>
  <sheetFormatPr defaultColWidth="9.140625" defaultRowHeight="15"/>
  <cols>
    <col min="1" max="4" width="5.28125" style="0" customWidth="1"/>
    <col min="5" max="5" width="1.8515625" style="0" customWidth="1"/>
    <col min="6" max="6" width="0.9921875" style="0" customWidth="1"/>
    <col min="7" max="7" width="3.7109375" style="0" customWidth="1"/>
    <col min="8" max="8" width="10.28125" style="0" customWidth="1"/>
    <col min="9" max="9" width="8.7109375" style="0" customWidth="1"/>
    <col min="10" max="10" width="12.140625" style="0" customWidth="1"/>
    <col min="11" max="13" width="2.421875" style="0" customWidth="1"/>
    <col min="14" max="18" width="3.421875" style="0" customWidth="1"/>
    <col min="19" max="19" width="2.57421875" style="0" customWidth="1"/>
    <col min="20" max="20" width="4.421875" style="0" customWidth="1"/>
    <col min="21" max="21" width="4.140625" style="0" customWidth="1"/>
    <col min="22" max="22" width="1.57421875" style="0" customWidth="1"/>
    <col min="27" max="27" width="0" style="0" hidden="1" customWidth="1"/>
    <col min="28" max="28" width="11.28125" style="0" hidden="1" customWidth="1"/>
    <col min="29" max="29" width="10.57421875" style="0" hidden="1" customWidth="1"/>
    <col min="30" max="30" width="0" style="0" hidden="1" customWidth="1"/>
    <col min="31" max="31" width="5.00390625" style="0" hidden="1" customWidth="1"/>
    <col min="32" max="32" width="0" style="0" hidden="1" customWidth="1"/>
  </cols>
  <sheetData>
    <row r="1" spans="1:22" ht="16.5">
      <c r="A1" s="579" t="str">
        <f>"Proceedings of the "&amp;Data!Y54&amp;", "&amp;Data!Y55</f>
        <v>Proceedings of the Head Master, Z P High School, M.D Mangalam</v>
      </c>
      <c r="B1" s="579"/>
      <c r="C1" s="579"/>
      <c r="D1" s="579"/>
      <c r="E1" s="579"/>
      <c r="F1" s="579"/>
      <c r="G1" s="579"/>
      <c r="H1" s="579"/>
      <c r="I1" s="579"/>
      <c r="J1" s="579"/>
      <c r="K1" s="579"/>
      <c r="L1" s="579"/>
      <c r="M1" s="579"/>
      <c r="N1" s="579"/>
      <c r="O1" s="579"/>
      <c r="P1" s="579"/>
      <c r="Q1" s="579"/>
      <c r="R1" s="579"/>
      <c r="S1" s="579"/>
      <c r="T1" s="579"/>
      <c r="U1" s="579"/>
      <c r="V1" s="239"/>
    </row>
    <row r="2" spans="1:22" ht="15.75">
      <c r="A2" s="582" t="str">
        <f>"Present: "&amp;Data!G23</f>
        <v>Present: Sri.K.R Ramesh Babu MA, B.Ed</v>
      </c>
      <c r="B2" s="582"/>
      <c r="C2" s="582"/>
      <c r="D2" s="582"/>
      <c r="E2" s="582"/>
      <c r="F2" s="582"/>
      <c r="G2" s="582"/>
      <c r="H2" s="582"/>
      <c r="I2" s="582"/>
      <c r="J2" s="582"/>
      <c r="K2" s="582"/>
      <c r="L2" s="582"/>
      <c r="M2" s="582"/>
      <c r="N2" s="582"/>
      <c r="O2" s="582"/>
      <c r="P2" s="582"/>
      <c r="Q2" s="582"/>
      <c r="R2" s="582"/>
      <c r="S2" s="582"/>
      <c r="T2" s="582"/>
      <c r="U2" s="582"/>
      <c r="V2" s="237"/>
    </row>
    <row r="3" spans="1:22" ht="15.75">
      <c r="A3" s="10"/>
      <c r="B3" s="10"/>
      <c r="C3" s="10"/>
      <c r="D3" s="10"/>
      <c r="E3" s="10"/>
      <c r="F3" s="10"/>
      <c r="G3" s="10"/>
      <c r="H3" s="10"/>
      <c r="I3" s="10"/>
      <c r="J3" s="13"/>
      <c r="K3" s="13"/>
      <c r="L3" s="13"/>
      <c r="M3" s="13"/>
      <c r="N3" s="13"/>
      <c r="O3" s="13"/>
      <c r="P3" s="13"/>
      <c r="Q3" s="13"/>
      <c r="R3" s="13"/>
      <c r="S3" s="13"/>
      <c r="T3" s="13"/>
      <c r="U3" s="13"/>
      <c r="V3" s="13"/>
    </row>
    <row r="4" spans="1:22" ht="15.75">
      <c r="A4" s="543" t="s">
        <v>654</v>
      </c>
      <c r="B4" s="543"/>
      <c r="C4" s="10"/>
      <c r="D4" s="10"/>
      <c r="E4" s="10"/>
      <c r="F4" s="10"/>
      <c r="G4" s="10"/>
      <c r="H4" s="10"/>
      <c r="I4" s="10"/>
      <c r="J4" s="13"/>
      <c r="K4" s="13"/>
      <c r="L4" s="13"/>
      <c r="M4" s="13"/>
      <c r="N4" s="13"/>
      <c r="O4" s="10" t="s">
        <v>209</v>
      </c>
      <c r="P4" s="13"/>
      <c r="Q4" s="580"/>
      <c r="R4" s="580"/>
      <c r="S4" s="580"/>
      <c r="T4" s="580"/>
      <c r="U4" s="13"/>
      <c r="V4" s="13"/>
    </row>
    <row r="5" spans="1:22" ht="15">
      <c r="A5" s="240"/>
      <c r="B5" s="240"/>
      <c r="C5" s="240"/>
      <c r="D5" s="240"/>
      <c r="E5" s="240"/>
      <c r="F5" s="240"/>
      <c r="G5" s="240"/>
      <c r="H5" s="240"/>
      <c r="I5" s="240"/>
      <c r="J5" s="13"/>
      <c r="K5" s="13"/>
      <c r="L5" s="13"/>
      <c r="M5" s="13"/>
      <c r="N5" s="13"/>
      <c r="O5" s="13"/>
      <c r="P5" s="13"/>
      <c r="Q5" s="13"/>
      <c r="R5" s="13"/>
      <c r="S5" s="13"/>
      <c r="T5" s="13"/>
      <c r="U5" s="13"/>
      <c r="V5" s="13"/>
    </row>
    <row r="6" spans="1:22" ht="15.75">
      <c r="A6" s="13"/>
      <c r="B6" s="10" t="s">
        <v>627</v>
      </c>
      <c r="C6" s="545" t="str">
        <f>"Public Service – Revision of Pay Scales, 2015 – Fixation of "&amp;Data!AY128&amp;" in Revised Pay Scales, 2015 - Orders - Issued."</f>
        <v>Public Service – Revision of Pay Scales, 2015 – Fixation of Sri S Nithin, SA(Hin), M.D Mangalam, G D Nellore Mandal, Karimnagar District. in Revised Pay Scales, 2015 - Orders - Issued.</v>
      </c>
      <c r="D6" s="545"/>
      <c r="E6" s="545"/>
      <c r="F6" s="545"/>
      <c r="G6" s="545"/>
      <c r="H6" s="545"/>
      <c r="I6" s="545"/>
      <c r="J6" s="545"/>
      <c r="K6" s="545"/>
      <c r="L6" s="545"/>
      <c r="M6" s="545"/>
      <c r="N6" s="545"/>
      <c r="O6" s="545"/>
      <c r="P6" s="545"/>
      <c r="Q6" s="545"/>
      <c r="R6" s="545"/>
      <c r="S6" s="545"/>
      <c r="T6" s="545"/>
      <c r="U6" s="545"/>
      <c r="V6" s="238"/>
    </row>
    <row r="7" spans="1:22" ht="34.5" customHeight="1">
      <c r="A7" s="10" t="s">
        <v>403</v>
      </c>
      <c r="B7" s="10"/>
      <c r="C7" s="545"/>
      <c r="D7" s="545"/>
      <c r="E7" s="545"/>
      <c r="F7" s="545"/>
      <c r="G7" s="545"/>
      <c r="H7" s="545"/>
      <c r="I7" s="545"/>
      <c r="J7" s="545"/>
      <c r="K7" s="545"/>
      <c r="L7" s="545"/>
      <c r="M7" s="545"/>
      <c r="N7" s="545"/>
      <c r="O7" s="545"/>
      <c r="P7" s="545"/>
      <c r="Q7" s="545"/>
      <c r="R7" s="545"/>
      <c r="S7" s="545"/>
      <c r="T7" s="545"/>
      <c r="U7" s="545"/>
      <c r="V7" s="238"/>
    </row>
    <row r="8" spans="1:22" ht="7.5" customHeight="1">
      <c r="A8" s="10"/>
      <c r="B8" s="10"/>
      <c r="C8" s="238"/>
      <c r="D8" s="238"/>
      <c r="E8" s="238"/>
      <c r="F8" s="238"/>
      <c r="G8" s="238"/>
      <c r="H8" s="238"/>
      <c r="I8" s="238"/>
      <c r="J8" s="238"/>
      <c r="K8" s="238"/>
      <c r="L8" s="238"/>
      <c r="M8" s="238"/>
      <c r="N8" s="238"/>
      <c r="O8" s="238"/>
      <c r="P8" s="238"/>
      <c r="Q8" s="238"/>
      <c r="R8" s="238"/>
      <c r="S8" s="238"/>
      <c r="T8" s="238"/>
      <c r="U8" s="238"/>
      <c r="V8" s="238"/>
    </row>
    <row r="9" spans="1:22" ht="15.75">
      <c r="A9" s="13"/>
      <c r="B9" s="10" t="s">
        <v>628</v>
      </c>
      <c r="C9" s="10" t="s">
        <v>656</v>
      </c>
      <c r="D9" s="13"/>
      <c r="E9" s="13"/>
      <c r="F9" s="13"/>
      <c r="G9" s="13"/>
      <c r="H9" s="13"/>
      <c r="I9" s="13"/>
      <c r="J9" s="13"/>
      <c r="K9" s="10"/>
      <c r="L9" s="10"/>
      <c r="M9" s="10"/>
      <c r="N9" s="13"/>
      <c r="O9" s="13"/>
      <c r="P9" s="13"/>
      <c r="Q9" s="13"/>
      <c r="R9" s="13"/>
      <c r="S9" s="13"/>
      <c r="T9" s="13"/>
      <c r="U9" s="13"/>
      <c r="V9" s="13"/>
    </row>
    <row r="10" spans="1:22" ht="15.75">
      <c r="A10" s="13"/>
      <c r="B10" s="13"/>
      <c r="C10" s="10" t="s">
        <v>657</v>
      </c>
      <c r="D10" s="13"/>
      <c r="E10" s="13"/>
      <c r="F10" s="13"/>
      <c r="G10" s="13"/>
      <c r="H10" s="13"/>
      <c r="I10" s="13"/>
      <c r="J10" s="13"/>
      <c r="K10" s="10"/>
      <c r="L10" s="10"/>
      <c r="M10" s="10"/>
      <c r="N10" s="13"/>
      <c r="O10" s="13"/>
      <c r="P10" s="13"/>
      <c r="Q10" s="13"/>
      <c r="R10" s="13"/>
      <c r="S10" s="13"/>
      <c r="T10" s="13"/>
      <c r="U10" s="13"/>
      <c r="V10" s="13"/>
    </row>
    <row r="11" spans="1:22" ht="15.75">
      <c r="A11" s="13"/>
      <c r="B11" s="13"/>
      <c r="C11" s="10" t="s">
        <v>658</v>
      </c>
      <c r="D11" s="13"/>
      <c r="E11" s="13"/>
      <c r="F11" s="13"/>
      <c r="G11" s="13"/>
      <c r="H11" s="13"/>
      <c r="I11" s="13"/>
      <c r="J11" s="13"/>
      <c r="K11" s="10"/>
      <c r="L11" s="10"/>
      <c r="M11" s="10"/>
      <c r="N11" s="13"/>
      <c r="O11" s="13"/>
      <c r="P11" s="13"/>
      <c r="Q11" s="13"/>
      <c r="R11" s="13"/>
      <c r="S11" s="13"/>
      <c r="T11" s="13"/>
      <c r="U11" s="13"/>
      <c r="V11" s="13"/>
    </row>
    <row r="12" spans="1:22" ht="15.75">
      <c r="A12" s="13"/>
      <c r="B12" s="13"/>
      <c r="C12" s="10" t="s">
        <v>659</v>
      </c>
      <c r="D12" s="13"/>
      <c r="E12" s="13"/>
      <c r="F12" s="13"/>
      <c r="G12" s="13"/>
      <c r="H12" s="13"/>
      <c r="I12" s="13"/>
      <c r="J12" s="13"/>
      <c r="K12" s="10"/>
      <c r="L12" s="10"/>
      <c r="M12" s="10"/>
      <c r="N12" s="13"/>
      <c r="O12" s="13"/>
      <c r="P12" s="13"/>
      <c r="Q12" s="13"/>
      <c r="R12" s="13"/>
      <c r="S12" s="13"/>
      <c r="T12" s="13"/>
      <c r="U12" s="13"/>
      <c r="V12" s="13"/>
    </row>
    <row r="13" spans="1:22" ht="15.75">
      <c r="A13" s="13"/>
      <c r="B13" s="13"/>
      <c r="C13" s="10" t="s">
        <v>665</v>
      </c>
      <c r="D13" s="13"/>
      <c r="E13" s="13"/>
      <c r="F13" s="13"/>
      <c r="G13" s="13"/>
      <c r="H13" s="13"/>
      <c r="I13" s="13"/>
      <c r="J13" s="13"/>
      <c r="K13" s="10"/>
      <c r="L13" s="10"/>
      <c r="M13" s="10"/>
      <c r="N13" s="13"/>
      <c r="O13" s="13"/>
      <c r="P13" s="13"/>
      <c r="Q13" s="13"/>
      <c r="R13" s="13"/>
      <c r="S13" s="13"/>
      <c r="T13" s="13"/>
      <c r="U13" s="13"/>
      <c r="V13" s="13"/>
    </row>
    <row r="14" spans="1:22" ht="15.75">
      <c r="A14" s="13"/>
      <c r="B14" s="13"/>
      <c r="C14" s="82" t="s">
        <v>629</v>
      </c>
      <c r="D14" s="13"/>
      <c r="E14" s="13"/>
      <c r="F14" s="13"/>
      <c r="G14" s="13"/>
      <c r="H14" s="13"/>
      <c r="I14" s="13"/>
      <c r="J14" s="13"/>
      <c r="K14" s="10"/>
      <c r="L14" s="10"/>
      <c r="M14" s="10"/>
      <c r="N14" s="13"/>
      <c r="O14" s="13"/>
      <c r="P14" s="13"/>
      <c r="Q14" s="13"/>
      <c r="R14" s="13"/>
      <c r="S14" s="13"/>
      <c r="T14" s="13"/>
      <c r="U14" s="13"/>
      <c r="V14" s="13"/>
    </row>
    <row r="15" spans="1:22" ht="15.75">
      <c r="A15" s="13"/>
      <c r="B15" s="13"/>
      <c r="D15" s="13"/>
      <c r="E15" s="13"/>
      <c r="F15" s="13"/>
      <c r="G15" s="13"/>
      <c r="H15" s="13"/>
      <c r="I15" s="13"/>
      <c r="J15" s="13"/>
      <c r="K15" s="581"/>
      <c r="L15" s="581"/>
      <c r="M15" s="581"/>
      <c r="N15" s="581"/>
      <c r="O15" s="581"/>
      <c r="P15" s="13"/>
      <c r="Q15" s="13"/>
      <c r="R15" s="13"/>
      <c r="S15" s="13"/>
      <c r="T15" s="13"/>
      <c r="U15" s="13"/>
      <c r="V15" s="13"/>
    </row>
    <row r="16" spans="1:22" ht="15">
      <c r="A16" s="242"/>
      <c r="B16" s="242"/>
      <c r="C16" s="242"/>
      <c r="D16" s="242"/>
      <c r="E16" s="242"/>
      <c r="F16" s="242"/>
      <c r="G16" s="242"/>
      <c r="H16" s="242"/>
      <c r="I16" s="242"/>
      <c r="J16" s="13"/>
      <c r="K16" s="13"/>
      <c r="L16" s="13"/>
      <c r="M16" s="13"/>
      <c r="N16" s="13"/>
      <c r="O16" s="13"/>
      <c r="P16" s="13"/>
      <c r="Q16" s="13"/>
      <c r="R16" s="13"/>
      <c r="S16" s="13"/>
      <c r="T16" s="13"/>
      <c r="U16" s="13"/>
      <c r="V16" s="13"/>
    </row>
    <row r="17" spans="1:22" ht="15.75">
      <c r="A17" s="10" t="s">
        <v>630</v>
      </c>
      <c r="B17" s="10"/>
      <c r="C17" s="10"/>
      <c r="D17" s="10"/>
      <c r="E17" s="10"/>
      <c r="F17" s="10"/>
      <c r="G17" s="10"/>
      <c r="H17" s="10"/>
      <c r="I17" s="10"/>
      <c r="J17" s="13"/>
      <c r="K17" s="13"/>
      <c r="L17" s="13"/>
      <c r="M17" s="13"/>
      <c r="N17" s="13"/>
      <c r="O17" s="13"/>
      <c r="P17" s="13"/>
      <c r="Q17" s="13"/>
      <c r="R17" s="13"/>
      <c r="S17" s="13"/>
      <c r="T17" s="13"/>
      <c r="U17" s="13"/>
      <c r="V17" s="13"/>
    </row>
    <row r="18" spans="1:22" ht="66" customHeight="1">
      <c r="A18" s="545" t="s">
        <v>631</v>
      </c>
      <c r="B18" s="545"/>
      <c r="C18" s="545"/>
      <c r="D18" s="545"/>
      <c r="E18" s="545"/>
      <c r="F18" s="545"/>
      <c r="G18" s="545"/>
      <c r="H18" s="545"/>
      <c r="I18" s="545"/>
      <c r="J18" s="545"/>
      <c r="K18" s="545"/>
      <c r="L18" s="545"/>
      <c r="M18" s="545"/>
      <c r="N18" s="545"/>
      <c r="O18" s="545"/>
      <c r="P18" s="545"/>
      <c r="Q18" s="545"/>
      <c r="R18" s="545"/>
      <c r="S18" s="545"/>
      <c r="T18" s="545"/>
      <c r="U18" s="545"/>
      <c r="V18" s="241"/>
    </row>
    <row r="19" spans="1:22" ht="70.5" customHeight="1">
      <c r="A19" s="545" t="str">
        <f>"         In this connection to "&amp;Data!G6&amp;" holding the post of "&amp;Data!AB53&amp;"  in the scale of "&amp;Data!AA78&amp;" as on option date "&amp;IF(Data!AG57&lt;&gt;15,"and got promotion as "&amp;Data!AH57,"")&amp;" working in the Office of "&amp;Data!U53&amp;" has exercised the option to come under the R.P.S, 2015 w.e.f 01.07.2013 which is his/her option date as per the 6th reference cited above."</f>
        <v>         In this connection to Sri S Nithin holding the post of School Assistant( English)  in the scale of 14860-39540 as on option date and got promotion as SA(Hin) working in the Office of Z P High School, M.D Mangalam has exercised the option to come under the R.P.S, 2015 w.e.f 01.07.2013 which is his/her option date as per the 6th reference cited above.</v>
      </c>
      <c r="B19" s="545"/>
      <c r="C19" s="545"/>
      <c r="D19" s="545"/>
      <c r="E19" s="545"/>
      <c r="F19" s="545"/>
      <c r="G19" s="545"/>
      <c r="H19" s="545"/>
      <c r="I19" s="545"/>
      <c r="J19" s="545"/>
      <c r="K19" s="545"/>
      <c r="L19" s="545"/>
      <c r="M19" s="545"/>
      <c r="N19" s="545"/>
      <c r="O19" s="545"/>
      <c r="P19" s="545"/>
      <c r="Q19" s="545"/>
      <c r="R19" s="545"/>
      <c r="S19" s="545"/>
      <c r="T19" s="545"/>
      <c r="U19" s="545"/>
      <c r="V19" s="241"/>
    </row>
    <row r="20" spans="1:22" ht="12" customHeight="1">
      <c r="A20" s="11"/>
      <c r="B20" s="11"/>
      <c r="C20" s="11"/>
      <c r="D20" s="11"/>
      <c r="E20" s="11"/>
      <c r="F20" s="11"/>
      <c r="G20" s="11"/>
      <c r="H20" s="11"/>
      <c r="I20" s="11"/>
      <c r="J20" s="11"/>
      <c r="K20" s="11"/>
      <c r="L20" s="11"/>
      <c r="M20" s="11"/>
      <c r="N20" s="11"/>
      <c r="O20" s="11"/>
      <c r="P20" s="11"/>
      <c r="Q20" s="11"/>
      <c r="R20" s="11"/>
      <c r="S20" s="11"/>
      <c r="T20" s="11"/>
      <c r="U20" s="11"/>
      <c r="V20" s="241"/>
    </row>
    <row r="21" spans="1:22" ht="15.75">
      <c r="A21" s="13"/>
      <c r="B21" s="82" t="s">
        <v>632</v>
      </c>
      <c r="C21" s="82"/>
      <c r="D21" s="82"/>
      <c r="E21" s="82"/>
      <c r="F21" s="82"/>
      <c r="G21" s="82"/>
      <c r="H21" s="82"/>
      <c r="I21" s="82"/>
      <c r="J21" s="82"/>
      <c r="K21" s="82"/>
      <c r="L21" s="82"/>
      <c r="M21" s="82"/>
      <c r="N21" s="12"/>
      <c r="O21" s="12"/>
      <c r="P21" s="12"/>
      <c r="Q21" s="12"/>
      <c r="R21" s="12"/>
      <c r="S21" s="12"/>
      <c r="T21" s="12"/>
      <c r="U21" s="12"/>
      <c r="V21" s="12"/>
    </row>
    <row r="22" spans="1:22" ht="15.75">
      <c r="A22" s="13"/>
      <c r="B22" s="11"/>
      <c r="C22" s="11"/>
      <c r="D22" s="578" t="s">
        <v>633</v>
      </c>
      <c r="E22" s="578"/>
      <c r="F22" s="578"/>
      <c r="G22" s="578"/>
      <c r="H22" s="578"/>
      <c r="I22" s="578"/>
      <c r="J22" s="351">
        <f>Data!AA121</f>
        <v>18520</v>
      </c>
      <c r="K22" s="241"/>
      <c r="L22" s="241"/>
      <c r="M22" s="241"/>
      <c r="N22" s="241"/>
      <c r="O22" s="241"/>
      <c r="P22" s="241"/>
      <c r="Q22" s="241"/>
      <c r="R22" s="241"/>
      <c r="S22" s="241"/>
      <c r="T22" s="241"/>
      <c r="U22" s="241"/>
      <c r="V22" s="241"/>
    </row>
    <row r="23" spans="1:22" ht="15.75">
      <c r="A23" s="13"/>
      <c r="B23" s="11"/>
      <c r="C23" s="11"/>
      <c r="D23" s="578" t="s">
        <v>634</v>
      </c>
      <c r="E23" s="578"/>
      <c r="F23" s="578"/>
      <c r="G23" s="578"/>
      <c r="H23" s="578"/>
      <c r="I23" s="578"/>
      <c r="J23" s="243">
        <f>ROUND(J22*63.344%,0)</f>
        <v>11731</v>
      </c>
      <c r="K23" s="241"/>
      <c r="L23" s="241"/>
      <c r="M23" s="241"/>
      <c r="N23" s="241"/>
      <c r="O23" s="241"/>
      <c r="P23" s="241"/>
      <c r="Q23" s="241"/>
      <c r="R23" s="241"/>
      <c r="S23" s="241"/>
      <c r="T23" s="241"/>
      <c r="U23" s="241"/>
      <c r="V23" s="241"/>
    </row>
    <row r="24" spans="1:22" ht="15.75">
      <c r="A24" s="13"/>
      <c r="B24" s="11"/>
      <c r="C24" s="11"/>
      <c r="D24" s="578" t="s">
        <v>635</v>
      </c>
      <c r="E24" s="578"/>
      <c r="F24" s="578"/>
      <c r="G24" s="578"/>
      <c r="H24" s="578"/>
      <c r="I24" s="578"/>
      <c r="J24" s="243">
        <f>ROUND(J22*43%,0)</f>
        <v>7964</v>
      </c>
      <c r="K24" s="241"/>
      <c r="L24" s="241"/>
      <c r="M24" s="241"/>
      <c r="N24" s="241"/>
      <c r="O24" s="241"/>
      <c r="P24" s="241"/>
      <c r="Q24" s="241"/>
      <c r="R24" s="241"/>
      <c r="S24" s="241"/>
      <c r="T24" s="241"/>
      <c r="U24" s="241"/>
      <c r="V24" s="241"/>
    </row>
    <row r="25" spans="1:22" ht="15.75">
      <c r="A25" s="13"/>
      <c r="B25" s="11"/>
      <c r="C25" s="11"/>
      <c r="D25" s="578" t="s">
        <v>636</v>
      </c>
      <c r="E25" s="578"/>
      <c r="F25" s="578"/>
      <c r="G25" s="578"/>
      <c r="H25" s="578"/>
      <c r="I25" s="578"/>
      <c r="J25" s="243">
        <f>SUM(J22:J24)</f>
        <v>38215</v>
      </c>
      <c r="K25" s="241"/>
      <c r="L25" s="241"/>
      <c r="M25" s="241"/>
      <c r="N25" s="241"/>
      <c r="O25" s="241"/>
      <c r="P25" s="241"/>
      <c r="Q25" s="241"/>
      <c r="R25" s="241"/>
      <c r="S25" s="241"/>
      <c r="T25" s="241"/>
      <c r="U25" s="241"/>
      <c r="V25" s="241"/>
    </row>
    <row r="26" spans="1:22" ht="15.75">
      <c r="A26" s="13"/>
      <c r="B26" s="11"/>
      <c r="C26" s="11"/>
      <c r="D26" s="578" t="s">
        <v>637</v>
      </c>
      <c r="E26" s="578"/>
      <c r="F26" s="578"/>
      <c r="G26" s="578"/>
      <c r="H26" s="578"/>
      <c r="I26" s="578"/>
      <c r="J26" s="351">
        <f>VLOOKUP(J22,Data!AU54:AY116,5,0)</f>
        <v>39160</v>
      </c>
      <c r="K26" s="241"/>
      <c r="L26" s="241"/>
      <c r="M26" s="241"/>
      <c r="N26" s="241"/>
      <c r="O26" s="241"/>
      <c r="P26" s="241"/>
      <c r="Q26" s="241"/>
      <c r="R26" s="241"/>
      <c r="S26" s="241"/>
      <c r="T26" s="241"/>
      <c r="U26" s="241"/>
      <c r="V26" s="241"/>
    </row>
    <row r="27" spans="1:29" ht="8.25" customHeight="1">
      <c r="A27" s="13"/>
      <c r="B27" s="82"/>
      <c r="C27" s="82"/>
      <c r="D27" s="82"/>
      <c r="E27" s="82"/>
      <c r="F27" s="82"/>
      <c r="G27" s="82"/>
      <c r="H27" s="82"/>
      <c r="I27" s="82"/>
      <c r="J27" s="82"/>
      <c r="K27" s="82"/>
      <c r="L27" s="82"/>
      <c r="M27" s="82"/>
      <c r="N27" s="12"/>
      <c r="O27" s="12"/>
      <c r="P27" s="12"/>
      <c r="Q27" s="12"/>
      <c r="R27" s="12"/>
      <c r="S27" s="12"/>
      <c r="T27" s="12"/>
      <c r="U27" s="12"/>
      <c r="V27" s="12"/>
      <c r="AC27" s="252"/>
    </row>
    <row r="28" spans="1:22" ht="54">
      <c r="A28" s="244" t="s">
        <v>638</v>
      </c>
      <c r="B28" s="549" t="s">
        <v>639</v>
      </c>
      <c r="C28" s="550"/>
      <c r="D28" s="550"/>
      <c r="E28" s="550"/>
      <c r="F28" s="551"/>
      <c r="G28" s="245" t="s">
        <v>12</v>
      </c>
      <c r="H28" s="244" t="s">
        <v>640</v>
      </c>
      <c r="I28" s="244" t="s">
        <v>641</v>
      </c>
      <c r="J28" s="244" t="s">
        <v>642</v>
      </c>
      <c r="K28" s="549" t="s">
        <v>643</v>
      </c>
      <c r="L28" s="550"/>
      <c r="M28" s="551"/>
      <c r="N28" s="549" t="s">
        <v>644</v>
      </c>
      <c r="O28" s="550"/>
      <c r="P28" s="551"/>
      <c r="Q28" s="549" t="s">
        <v>645</v>
      </c>
      <c r="R28" s="550"/>
      <c r="S28" s="551"/>
      <c r="T28" s="549" t="s">
        <v>646</v>
      </c>
      <c r="U28" s="551"/>
      <c r="V28" s="246"/>
    </row>
    <row r="29" spans="1:22" ht="10.5" customHeight="1">
      <c r="A29" s="244">
        <v>1</v>
      </c>
      <c r="B29" s="549">
        <v>2</v>
      </c>
      <c r="C29" s="550"/>
      <c r="D29" s="550"/>
      <c r="E29" s="550"/>
      <c r="F29" s="551"/>
      <c r="G29" s="244">
        <v>3</v>
      </c>
      <c r="H29" s="244">
        <v>4</v>
      </c>
      <c r="I29" s="244">
        <v>5</v>
      </c>
      <c r="J29" s="244">
        <v>6</v>
      </c>
      <c r="K29" s="549">
        <v>7</v>
      </c>
      <c r="L29" s="550"/>
      <c r="M29" s="551"/>
      <c r="N29" s="549">
        <v>8</v>
      </c>
      <c r="O29" s="550"/>
      <c r="P29" s="551"/>
      <c r="Q29" s="549">
        <v>9</v>
      </c>
      <c r="R29" s="550"/>
      <c r="S29" s="551"/>
      <c r="T29" s="549">
        <v>10</v>
      </c>
      <c r="U29" s="551"/>
      <c r="V29" s="246"/>
    </row>
    <row r="30" spans="1:31" ht="15">
      <c r="A30" s="560">
        <v>1</v>
      </c>
      <c r="B30" s="563" t="str">
        <f>Data!G6&amp;" "&amp;IF(Data!AG57&lt;&gt;15,Data!AH57,Data!AB53)</f>
        <v>Sri S Nithin SA(Hin)</v>
      </c>
      <c r="C30" s="564"/>
      <c r="D30" s="564"/>
      <c r="E30" s="564"/>
      <c r="F30" s="565"/>
      <c r="G30" s="572" t="s">
        <v>647</v>
      </c>
      <c r="H30" s="93" t="str">
        <f>Data!AA78</f>
        <v>14860-39540</v>
      </c>
      <c r="I30" s="247">
        <f>J22</f>
        <v>18520</v>
      </c>
      <c r="J30" s="248" t="str">
        <f>Data!AC78</f>
        <v>28940-78910</v>
      </c>
      <c r="K30" s="575">
        <f>J26</f>
        <v>39160</v>
      </c>
      <c r="L30" s="576"/>
      <c r="M30" s="577"/>
      <c r="N30" s="80"/>
      <c r="O30" s="18"/>
      <c r="P30" s="81"/>
      <c r="Q30" s="80"/>
      <c r="R30" s="18"/>
      <c r="S30" s="81"/>
      <c r="T30" s="80"/>
      <c r="U30" s="81"/>
      <c r="V30" s="249"/>
      <c r="AB30" t="str">
        <f>N31</f>
        <v>1-Nov-2013</v>
      </c>
      <c r="AC30" t="str">
        <f>LEFT(AB30,6)&amp;AE30</f>
        <v>1-Nov-2012</v>
      </c>
      <c r="AE30">
        <f>RIGHT(AB30,4)-1</f>
        <v>2012</v>
      </c>
    </row>
    <row r="31" spans="1:31" ht="15">
      <c r="A31" s="561"/>
      <c r="B31" s="566"/>
      <c r="C31" s="567"/>
      <c r="D31" s="567"/>
      <c r="E31" s="567"/>
      <c r="F31" s="568"/>
      <c r="G31" s="573"/>
      <c r="H31" s="248" t="str">
        <f>Data!AG123</f>
        <v>14860-39540</v>
      </c>
      <c r="I31" s="248"/>
      <c r="J31" s="248" t="str">
        <f>VLOOKUP(H31,Data!$AA$79:$AC$83,3,0)</f>
        <v>28940-78910</v>
      </c>
      <c r="K31" s="549"/>
      <c r="L31" s="550"/>
      <c r="M31" s="551"/>
      <c r="N31" s="549" t="str">
        <f>appendix!M54</f>
        <v>1-Nov-2013</v>
      </c>
      <c r="O31" s="550"/>
      <c r="P31" s="551"/>
      <c r="Q31" s="553">
        <f>appendix!Q54</f>
        <v>40270</v>
      </c>
      <c r="R31" s="554"/>
      <c r="S31" s="555"/>
      <c r="T31" s="556" t="str">
        <f>IF(appendix!T54="Increment","A.G.I",IF(appendix!T54="AAS(6/12/18/24Years)","AAS",appendix!T54))</f>
        <v>A.G.I</v>
      </c>
      <c r="U31" s="557"/>
      <c r="V31" s="249"/>
      <c r="AB31" t="str">
        <f>N32</f>
        <v>1-Nov-2014</v>
      </c>
      <c r="AC31" t="str">
        <f>LEFT(AB31,6)&amp;AE31</f>
        <v>1-Nov-2013</v>
      </c>
      <c r="AE31">
        <f>RIGHT(AB31,4)-1</f>
        <v>2013</v>
      </c>
    </row>
    <row r="32" spans="1:31" ht="15" customHeight="1">
      <c r="A32" s="561"/>
      <c r="B32" s="566"/>
      <c r="C32" s="567"/>
      <c r="D32" s="567"/>
      <c r="E32" s="567"/>
      <c r="F32" s="568"/>
      <c r="G32" s="573"/>
      <c r="H32" s="248" t="str">
        <f>IF(Data!AB124=1,"",Data!AG124)</f>
        <v>14860-39540</v>
      </c>
      <c r="I32" s="248"/>
      <c r="J32" s="248" t="str">
        <f>VLOOKUP(H32,Data!$AA$79:$AC$83,3,0)</f>
        <v>28940-78910</v>
      </c>
      <c r="K32" s="549"/>
      <c r="L32" s="550"/>
      <c r="M32" s="551"/>
      <c r="N32" s="549" t="str">
        <f>appendix!M55</f>
        <v>1-Nov-2014</v>
      </c>
      <c r="O32" s="550"/>
      <c r="P32" s="551"/>
      <c r="Q32" s="553">
        <f>appendix!Q55</f>
        <v>41380</v>
      </c>
      <c r="R32" s="554"/>
      <c r="S32" s="555"/>
      <c r="T32" s="556" t="str">
        <f>IF(appendix!T55="Increment","A.G.I",IF(appendix!T55="AAS(6/12/18/24Years)","AAS",appendix!T55))</f>
        <v>A.G.I</v>
      </c>
      <c r="U32" s="557"/>
      <c r="V32" s="250"/>
      <c r="AB32">
        <f>N33</f>
      </c>
      <c r="AC32">
        <f>IF(AB32="","",LEFT(AB32,6)&amp;AE32)</f>
      </c>
      <c r="AE32">
        <f>IF(AC32="","",RIGHT(AB32,4)-1)</f>
      </c>
    </row>
    <row r="33" spans="1:31" ht="15">
      <c r="A33" s="561"/>
      <c r="B33" s="566"/>
      <c r="C33" s="567"/>
      <c r="D33" s="567"/>
      <c r="E33" s="567"/>
      <c r="F33" s="568"/>
      <c r="G33" s="573"/>
      <c r="H33" s="248">
        <f>IF(Data!AB125=1,"",Data!AG125)</f>
      </c>
      <c r="I33" s="248"/>
      <c r="J33" s="248">
        <f>IF(H33="","",VLOOKUP(H33,Data!$AA$79:$AC$83,3,0))</f>
      </c>
      <c r="K33" s="549"/>
      <c r="L33" s="550"/>
      <c r="M33" s="551"/>
      <c r="N33" s="552">
        <f>IF(J33="","",appendix!M56)</f>
      </c>
      <c r="O33" s="550"/>
      <c r="P33" s="551"/>
      <c r="Q33" s="553">
        <f>IF(N33="","",appendix!Q56)</f>
      </c>
      <c r="R33" s="554"/>
      <c r="S33" s="555"/>
      <c r="T33" s="556">
        <f>IF(appendix!T56="Increment","A.G.I",IF(appendix!T56="AAS(6/12/18/24Years)","AAS",appendix!T56))</f>
      </c>
      <c r="U33" s="557"/>
      <c r="V33" s="250"/>
      <c r="AB33">
        <f>N34</f>
      </c>
      <c r="AC33">
        <f>IF(AB33="","",LEFT(AB33,6)&amp;AE33)</f>
      </c>
      <c r="AE33">
        <f>IF(AB33="","",RIGHT(AB33,4)-1)</f>
      </c>
    </row>
    <row r="34" spans="1:22" ht="15">
      <c r="A34" s="561"/>
      <c r="B34" s="566"/>
      <c r="C34" s="567"/>
      <c r="D34" s="567"/>
      <c r="E34" s="567"/>
      <c r="F34" s="568"/>
      <c r="G34" s="573"/>
      <c r="H34" s="248">
        <f>IF(Data!AB126=1,"",Data!AG126)</f>
      </c>
      <c r="I34" s="248"/>
      <c r="J34" s="248">
        <f>IF(ISNA(VLOOKUP(H34,Data!$AA$79:$AC$83,3,0)),"",VLOOKUP(H34,Data!$AA$79:$AC$83,3,0))</f>
      </c>
      <c r="K34" s="558"/>
      <c r="L34" s="559"/>
      <c r="M34" s="559"/>
      <c r="N34" s="552">
        <f>IF(J34="","",appendix!M57)</f>
      </c>
      <c r="O34" s="550"/>
      <c r="P34" s="551"/>
      <c r="Q34" s="553">
        <f>IF(N34="","",appendix!Q57)</f>
      </c>
      <c r="R34" s="554"/>
      <c r="S34" s="555"/>
      <c r="T34" s="556">
        <f>IF(appendix!T57="Increment","A.G.I",IF(appendix!T57="AAS(6/12/18/24Years)","AAS",appendix!T57))</f>
      </c>
      <c r="U34" s="557"/>
      <c r="V34" s="250"/>
    </row>
    <row r="35" spans="1:31" ht="15">
      <c r="A35" s="562"/>
      <c r="B35" s="569"/>
      <c r="C35" s="570"/>
      <c r="D35" s="570"/>
      <c r="E35" s="570"/>
      <c r="F35" s="571"/>
      <c r="G35" s="574"/>
      <c r="H35" s="546" t="s">
        <v>265</v>
      </c>
      <c r="I35" s="547"/>
      <c r="J35" s="547"/>
      <c r="K35" s="547"/>
      <c r="L35" s="547"/>
      <c r="M35" s="547"/>
      <c r="N35" s="547"/>
      <c r="O35" s="547"/>
      <c r="P35" s="548"/>
      <c r="Q35" s="549" t="str">
        <f>AC35</f>
        <v>1-Nov-2015</v>
      </c>
      <c r="R35" s="550"/>
      <c r="S35" s="550"/>
      <c r="T35" s="550"/>
      <c r="U35" s="551"/>
      <c r="V35" s="246"/>
      <c r="AB35" t="str">
        <f>IF(T33="A.G.I",N33:N33,IF(T32="A.G.I",N32,IF(T31="A.G.I",N31,"")))</f>
        <v>1-Nov-2014</v>
      </c>
      <c r="AC35" t="str">
        <f>LEFT(AB35,6)&amp;AE35</f>
        <v>1-Nov-2015</v>
      </c>
      <c r="AE35">
        <f>RIGHT(AB35,4)+1</f>
        <v>2015</v>
      </c>
    </row>
    <row r="36" spans="1:22" ht="15.75">
      <c r="A36" s="251"/>
      <c r="B36" s="251"/>
      <c r="C36" s="251"/>
      <c r="D36" s="251"/>
      <c r="E36" s="251"/>
      <c r="F36" s="251"/>
      <c r="G36" s="251"/>
      <c r="H36" s="251"/>
      <c r="I36" s="251"/>
      <c r="J36" s="13"/>
      <c r="K36" s="13"/>
      <c r="L36" s="13"/>
      <c r="M36" s="13"/>
      <c r="N36" s="13"/>
      <c r="O36" s="13"/>
      <c r="P36" s="13"/>
      <c r="Q36" s="13"/>
      <c r="R36" s="13"/>
      <c r="S36" s="13"/>
      <c r="T36" s="13"/>
      <c r="U36" s="13"/>
      <c r="V36" s="13"/>
    </row>
    <row r="37" spans="1:22" ht="46.5" customHeight="1">
      <c r="A37" s="545" t="s">
        <v>648</v>
      </c>
      <c r="B37" s="545"/>
      <c r="C37" s="545"/>
      <c r="D37" s="545"/>
      <c r="E37" s="545"/>
      <c r="F37" s="545"/>
      <c r="G37" s="545"/>
      <c r="H37" s="545"/>
      <c r="I37" s="545"/>
      <c r="J37" s="545"/>
      <c r="K37" s="545"/>
      <c r="L37" s="545"/>
      <c r="M37" s="545"/>
      <c r="N37" s="545"/>
      <c r="O37" s="545"/>
      <c r="P37" s="545"/>
      <c r="Q37" s="545"/>
      <c r="R37" s="545"/>
      <c r="S37" s="545"/>
      <c r="T37" s="545"/>
      <c r="U37" s="545"/>
      <c r="V37" s="241"/>
    </row>
    <row r="38" spans="1:22" ht="60.75" customHeight="1">
      <c r="A38" s="545" t="s">
        <v>649</v>
      </c>
      <c r="B38" s="545"/>
      <c r="C38" s="545"/>
      <c r="D38" s="545"/>
      <c r="E38" s="545"/>
      <c r="F38" s="545"/>
      <c r="G38" s="545"/>
      <c r="H38" s="545"/>
      <c r="I38" s="545"/>
      <c r="J38" s="545"/>
      <c r="K38" s="545"/>
      <c r="L38" s="545"/>
      <c r="M38" s="545"/>
      <c r="N38" s="545"/>
      <c r="O38" s="545"/>
      <c r="P38" s="545"/>
      <c r="Q38" s="545"/>
      <c r="R38" s="545"/>
      <c r="S38" s="545"/>
      <c r="T38" s="545"/>
      <c r="U38" s="545"/>
      <c r="V38" s="241"/>
    </row>
    <row r="39" spans="1:22" ht="15.75">
      <c r="A39" s="545" t="s">
        <v>650</v>
      </c>
      <c r="B39" s="545"/>
      <c r="C39" s="545"/>
      <c r="D39" s="545"/>
      <c r="E39" s="545"/>
      <c r="F39" s="545"/>
      <c r="G39" s="545"/>
      <c r="H39" s="545"/>
      <c r="I39" s="545"/>
      <c r="J39" s="545"/>
      <c r="K39" s="545"/>
      <c r="L39" s="545"/>
      <c r="M39" s="545"/>
      <c r="N39" s="545"/>
      <c r="O39" s="545"/>
      <c r="P39" s="545"/>
      <c r="Q39" s="545"/>
      <c r="R39" s="545"/>
      <c r="S39" s="545"/>
      <c r="T39" s="545"/>
      <c r="U39" s="545"/>
      <c r="V39" s="241"/>
    </row>
    <row r="40" spans="1:22" ht="15.75">
      <c r="A40" s="241"/>
      <c r="B40" s="241"/>
      <c r="C40" s="241"/>
      <c r="D40" s="241"/>
      <c r="E40" s="241"/>
      <c r="F40" s="241"/>
      <c r="G40" s="241"/>
      <c r="H40" s="241"/>
      <c r="I40" s="241"/>
      <c r="J40" s="241"/>
      <c r="K40" s="241"/>
      <c r="L40" s="241"/>
      <c r="M40" s="241"/>
      <c r="N40" s="241"/>
      <c r="O40" s="241"/>
      <c r="P40" s="241"/>
      <c r="Q40" s="241"/>
      <c r="R40" s="241"/>
      <c r="S40" s="241"/>
      <c r="T40" s="241"/>
      <c r="U40" s="241"/>
      <c r="V40" s="241"/>
    </row>
    <row r="41" spans="1:22" ht="15.75">
      <c r="A41" s="251"/>
      <c r="B41" s="251"/>
      <c r="C41" s="251"/>
      <c r="D41" s="251"/>
      <c r="E41" s="251"/>
      <c r="F41" s="251"/>
      <c r="G41" s="251"/>
      <c r="H41" s="251"/>
      <c r="I41" s="251"/>
      <c r="J41" s="13"/>
      <c r="K41" s="13"/>
      <c r="L41" s="13"/>
      <c r="M41" s="13"/>
      <c r="N41" s="13"/>
      <c r="O41" s="13"/>
      <c r="P41" s="13"/>
      <c r="Q41" s="13"/>
      <c r="R41" s="13"/>
      <c r="S41" s="13"/>
      <c r="T41" s="13"/>
      <c r="U41" s="13"/>
      <c r="V41" s="13"/>
    </row>
    <row r="42" spans="1:22" ht="15.75">
      <c r="A42" s="13"/>
      <c r="B42" s="13"/>
      <c r="C42" s="13"/>
      <c r="D42" s="13"/>
      <c r="E42" s="13"/>
      <c r="F42" s="13"/>
      <c r="G42" s="13"/>
      <c r="H42" s="13"/>
      <c r="I42" s="13"/>
      <c r="J42" s="13"/>
      <c r="K42" s="13"/>
      <c r="L42" s="13"/>
      <c r="M42" s="543" t="str">
        <f>Data!V67</f>
        <v> Headmaster </v>
      </c>
      <c r="N42" s="543"/>
      <c r="O42" s="543"/>
      <c r="P42" s="543"/>
      <c r="Q42" s="543"/>
      <c r="R42" s="543"/>
      <c r="S42" s="543"/>
      <c r="T42" s="543"/>
      <c r="U42" s="543"/>
      <c r="V42" s="543"/>
    </row>
    <row r="43" spans="1:22" ht="15.75">
      <c r="A43" s="13"/>
      <c r="B43" s="13"/>
      <c r="C43" s="13"/>
      <c r="D43" s="13"/>
      <c r="E43" s="13"/>
      <c r="F43" s="13"/>
      <c r="G43" s="13"/>
      <c r="H43" s="13"/>
      <c r="I43" s="13"/>
      <c r="J43" s="13"/>
      <c r="K43" s="13"/>
      <c r="L43" s="13"/>
      <c r="M43" s="543" t="str">
        <f>Data!G7</f>
        <v>M.D Mangalam</v>
      </c>
      <c r="N43" s="543"/>
      <c r="O43" s="543"/>
      <c r="P43" s="543"/>
      <c r="Q43" s="543"/>
      <c r="R43" s="543"/>
      <c r="S43" s="543"/>
      <c r="T43" s="543"/>
      <c r="U43" s="543"/>
      <c r="V43" s="543"/>
    </row>
    <row r="44" spans="1:22" ht="15">
      <c r="A44" s="544" t="s">
        <v>651</v>
      </c>
      <c r="B44" s="544"/>
      <c r="C44" s="544"/>
      <c r="D44" s="544"/>
      <c r="E44" s="544"/>
      <c r="F44" s="544"/>
      <c r="G44" s="544"/>
      <c r="H44" s="544"/>
      <c r="I44" s="544"/>
      <c r="J44" s="544"/>
      <c r="K44" s="544"/>
      <c r="L44" s="544"/>
      <c r="M44" s="544"/>
      <c r="N44" s="544"/>
      <c r="O44" s="544"/>
      <c r="P44" s="15"/>
      <c r="Q44" s="13"/>
      <c r="R44" s="13"/>
      <c r="S44" s="13"/>
      <c r="T44" s="13"/>
      <c r="U44" s="13"/>
      <c r="V44" s="13"/>
    </row>
    <row r="45" spans="1:22" ht="15">
      <c r="A45" s="544" t="s">
        <v>652</v>
      </c>
      <c r="B45" s="544"/>
      <c r="C45" s="544"/>
      <c r="D45" s="544"/>
      <c r="E45" s="544"/>
      <c r="F45" s="544"/>
      <c r="G45" s="544"/>
      <c r="H45" s="544"/>
      <c r="I45" s="544"/>
      <c r="J45" s="544"/>
      <c r="K45" s="544"/>
      <c r="L45" s="544"/>
      <c r="M45" s="544"/>
      <c r="N45" s="544"/>
      <c r="O45" s="544"/>
      <c r="P45" s="544"/>
      <c r="Q45" s="544"/>
      <c r="R45" s="13"/>
      <c r="S45" s="13"/>
      <c r="T45" s="13"/>
      <c r="U45" s="13"/>
      <c r="V45" s="13"/>
    </row>
    <row r="46" spans="1:22" ht="15">
      <c r="A46" s="544" t="s">
        <v>653</v>
      </c>
      <c r="B46" s="544"/>
      <c r="C46" s="544"/>
      <c r="D46" s="544"/>
      <c r="E46" s="544"/>
      <c r="F46" s="544"/>
      <c r="G46" s="544"/>
      <c r="H46" s="544"/>
      <c r="I46" s="544"/>
      <c r="J46" s="544"/>
      <c r="K46" s="544"/>
      <c r="L46" s="544"/>
      <c r="M46" s="544"/>
      <c r="N46" s="544"/>
      <c r="O46" s="544"/>
      <c r="P46" s="544"/>
      <c r="Q46" s="13"/>
      <c r="R46" s="13"/>
      <c r="S46" s="13"/>
      <c r="T46" s="13"/>
      <c r="U46" s="13"/>
      <c r="V46" s="13"/>
    </row>
  </sheetData>
  <sheetProtection password="DE3D" sheet="1"/>
  <mergeCells count="53">
    <mergeCell ref="A1:U1"/>
    <mergeCell ref="A18:U18"/>
    <mergeCell ref="D22:I22"/>
    <mergeCell ref="D23:I23"/>
    <mergeCell ref="D24:I24"/>
    <mergeCell ref="D25:I25"/>
    <mergeCell ref="Q4:T4"/>
    <mergeCell ref="C6:U7"/>
    <mergeCell ref="K15:O15"/>
    <mergeCell ref="A2:U2"/>
    <mergeCell ref="D26:I26"/>
    <mergeCell ref="B28:F28"/>
    <mergeCell ref="K28:M28"/>
    <mergeCell ref="N28:P28"/>
    <mergeCell ref="Q28:S28"/>
    <mergeCell ref="T28:U28"/>
    <mergeCell ref="B29:F29"/>
    <mergeCell ref="K29:M29"/>
    <mergeCell ref="N29:P29"/>
    <mergeCell ref="Q29:S29"/>
    <mergeCell ref="T29:U29"/>
    <mergeCell ref="A30:A35"/>
    <mergeCell ref="B30:F35"/>
    <mergeCell ref="G30:G35"/>
    <mergeCell ref="K30:M30"/>
    <mergeCell ref="K31:M31"/>
    <mergeCell ref="N31:P31"/>
    <mergeCell ref="Q31:S31"/>
    <mergeCell ref="T31:U31"/>
    <mergeCell ref="K32:M32"/>
    <mergeCell ref="N32:P32"/>
    <mergeCell ref="Q32:S32"/>
    <mergeCell ref="T32:U32"/>
    <mergeCell ref="A39:U39"/>
    <mergeCell ref="K33:M33"/>
    <mergeCell ref="N33:P33"/>
    <mergeCell ref="Q33:S33"/>
    <mergeCell ref="T33:U33"/>
    <mergeCell ref="Q35:U35"/>
    <mergeCell ref="K34:M34"/>
    <mergeCell ref="N34:P34"/>
    <mergeCell ref="Q34:S34"/>
    <mergeCell ref="T34:U34"/>
    <mergeCell ref="M42:V42"/>
    <mergeCell ref="M43:V43"/>
    <mergeCell ref="A44:O44"/>
    <mergeCell ref="A45:Q45"/>
    <mergeCell ref="A46:P46"/>
    <mergeCell ref="A4:B4"/>
    <mergeCell ref="A19:U19"/>
    <mergeCell ref="H35:P35"/>
    <mergeCell ref="A37:U37"/>
    <mergeCell ref="A38:U3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V37"/>
  <sheetViews>
    <sheetView showGridLines="0" showRowColHeaders="0" zoomScalePageLayoutView="0" workbookViewId="0" topLeftCell="A1">
      <selection activeCell="Y18" sqref="Y18"/>
    </sheetView>
  </sheetViews>
  <sheetFormatPr defaultColWidth="9.140625" defaultRowHeight="15"/>
  <cols>
    <col min="1" max="18" width="5.57421875" style="0" customWidth="1"/>
  </cols>
  <sheetData>
    <row r="1" spans="1:21" ht="28.5">
      <c r="A1" s="583" t="s">
        <v>193</v>
      </c>
      <c r="B1" s="583"/>
      <c r="C1" s="583"/>
      <c r="D1" s="583"/>
      <c r="E1" s="583"/>
      <c r="F1" s="583"/>
      <c r="G1" s="583"/>
      <c r="H1" s="583"/>
      <c r="I1" s="583"/>
      <c r="J1" s="583"/>
      <c r="K1" s="583"/>
      <c r="L1" s="583"/>
      <c r="M1" s="583"/>
      <c r="N1" s="583"/>
      <c r="O1" s="583"/>
      <c r="P1" s="230"/>
      <c r="Q1" s="230"/>
      <c r="R1" s="230"/>
      <c r="S1" s="230"/>
      <c r="T1" s="230"/>
      <c r="U1" s="230"/>
    </row>
    <row r="2" spans="1:21" ht="27" customHeight="1">
      <c r="A2" s="584" t="s">
        <v>565</v>
      </c>
      <c r="B2" s="585"/>
      <c r="C2" s="585"/>
      <c r="D2" s="585"/>
      <c r="E2" s="585"/>
      <c r="F2" s="585"/>
      <c r="G2" s="585"/>
      <c r="H2" s="585"/>
      <c r="I2" s="585"/>
      <c r="J2" s="585"/>
      <c r="K2" s="585"/>
      <c r="L2" s="585"/>
      <c r="M2" s="585"/>
      <c r="N2" s="585"/>
      <c r="O2" s="585"/>
      <c r="P2" s="230"/>
      <c r="Q2" s="230"/>
      <c r="R2" s="230"/>
      <c r="S2" s="230"/>
      <c r="T2" s="230"/>
      <c r="U2" s="230"/>
    </row>
    <row r="3" spans="1:21" ht="15">
      <c r="A3" s="230"/>
      <c r="B3" s="230"/>
      <c r="C3" s="230"/>
      <c r="D3" s="230"/>
      <c r="E3" s="230"/>
      <c r="F3" s="230"/>
      <c r="G3" s="230"/>
      <c r="H3" s="230"/>
      <c r="I3" s="230"/>
      <c r="J3" s="230"/>
      <c r="K3" s="230"/>
      <c r="L3" s="230"/>
      <c r="M3" s="230"/>
      <c r="N3" s="230"/>
      <c r="O3" s="230"/>
      <c r="P3" s="230"/>
      <c r="Q3" s="230"/>
      <c r="R3" s="230"/>
      <c r="S3" s="230"/>
      <c r="T3" s="230"/>
      <c r="U3" s="230"/>
    </row>
    <row r="4" spans="1:21" ht="50.25" customHeight="1">
      <c r="A4" s="586" t="str">
        <f>"                          (*) I, "&amp;Data!G6&amp;" holding the post of "&amp;Data!AB55&amp;" in the scale of Rs. "&amp;Data!AA78&amp;" in the office of "&amp;Data!G7&amp;" "&amp;Data!L7&amp;"- Mandal "&amp;Data!P7&amp;" district do here by elect to come under Revised Pay Scales, 2015 with effect from 1st July, 2013"</f>
        <v>                          (*) I, Sri S Nithin holding the post of Secondary Grade Teacher in the scale of Rs. 14860-39540 in the office of M.D Mangalam G D Nellore- Mandal Karimnagar district do here by elect to come under Revised Pay Scales, 2015 with effect from 1st July, 2013</v>
      </c>
      <c r="B4" s="586"/>
      <c r="C4" s="586"/>
      <c r="D4" s="586"/>
      <c r="E4" s="586"/>
      <c r="F4" s="586"/>
      <c r="G4" s="586"/>
      <c r="H4" s="586"/>
      <c r="I4" s="586"/>
      <c r="J4" s="586"/>
      <c r="K4" s="586"/>
      <c r="L4" s="586"/>
      <c r="M4" s="586"/>
      <c r="N4" s="586"/>
      <c r="O4" s="586"/>
      <c r="P4" s="230"/>
      <c r="Q4" s="230"/>
      <c r="R4" s="230"/>
      <c r="S4" s="230"/>
      <c r="T4" s="230"/>
      <c r="U4" s="230"/>
    </row>
    <row r="5" spans="1:21" ht="15">
      <c r="A5" s="253"/>
      <c r="B5" s="253"/>
      <c r="C5" s="253"/>
      <c r="D5" s="253"/>
      <c r="E5" s="253"/>
      <c r="F5" s="253"/>
      <c r="G5" s="253"/>
      <c r="H5" s="253"/>
      <c r="I5" s="253"/>
      <c r="J5" s="253"/>
      <c r="K5" s="253"/>
      <c r="L5" s="253"/>
      <c r="M5" s="253"/>
      <c r="N5" s="253"/>
      <c r="O5" s="253"/>
      <c r="P5" s="230"/>
      <c r="Q5" s="230"/>
      <c r="R5" s="230"/>
      <c r="S5" s="230"/>
      <c r="T5" s="230"/>
      <c r="U5" s="230"/>
    </row>
    <row r="6" spans="1:21" ht="50.25" customHeight="1">
      <c r="A6" s="584" t="s">
        <v>194</v>
      </c>
      <c r="B6" s="584"/>
      <c r="C6" s="584"/>
      <c r="D6" s="584"/>
      <c r="E6" s="584"/>
      <c r="F6" s="584"/>
      <c r="G6" s="584"/>
      <c r="H6" s="584"/>
      <c r="I6" s="584"/>
      <c r="J6" s="584"/>
      <c r="K6" s="584"/>
      <c r="L6" s="584"/>
      <c r="M6" s="584"/>
      <c r="N6" s="584"/>
      <c r="O6" s="584"/>
      <c r="P6" s="230"/>
      <c r="Q6" s="230"/>
      <c r="R6" s="230"/>
      <c r="S6" s="230"/>
      <c r="T6" s="230"/>
      <c r="U6" s="230"/>
    </row>
    <row r="7" spans="1:21" ht="15">
      <c r="A7" s="254"/>
      <c r="B7" s="253"/>
      <c r="C7" s="253"/>
      <c r="D7" s="253"/>
      <c r="E7" s="253"/>
      <c r="F7" s="253"/>
      <c r="G7" s="253"/>
      <c r="H7" s="253"/>
      <c r="I7" s="253"/>
      <c r="J7" s="253"/>
      <c r="K7" s="253"/>
      <c r="L7" s="253"/>
      <c r="M7" s="253"/>
      <c r="N7" s="253"/>
      <c r="O7" s="253"/>
      <c r="P7" s="230"/>
      <c r="Q7" s="230"/>
      <c r="R7" s="230"/>
      <c r="S7" s="230"/>
      <c r="T7" s="230"/>
      <c r="U7" s="230"/>
    </row>
    <row r="8" spans="1:21" ht="15">
      <c r="A8" s="584" t="s">
        <v>662</v>
      </c>
      <c r="B8" s="584"/>
      <c r="C8" s="584"/>
      <c r="D8" s="584"/>
      <c r="E8" s="584"/>
      <c r="F8" s="584"/>
      <c r="G8" s="584"/>
      <c r="H8" s="584"/>
      <c r="I8" s="584"/>
      <c r="J8" s="584"/>
      <c r="K8" s="584"/>
      <c r="L8" s="584"/>
      <c r="M8" s="584"/>
      <c r="N8" s="584"/>
      <c r="O8" s="584"/>
      <c r="P8" s="230"/>
      <c r="Q8" s="230"/>
      <c r="R8" s="230"/>
      <c r="S8" s="230"/>
      <c r="T8" s="230"/>
      <c r="U8" s="230"/>
    </row>
    <row r="9" spans="1:21" ht="15">
      <c r="A9" s="230"/>
      <c r="B9" s="230"/>
      <c r="C9" s="230"/>
      <c r="D9" s="230"/>
      <c r="E9" s="230"/>
      <c r="F9" s="230"/>
      <c r="G9" s="230"/>
      <c r="H9" s="230"/>
      <c r="I9" s="230"/>
      <c r="J9" s="230"/>
      <c r="K9" s="230"/>
      <c r="L9" s="230"/>
      <c r="M9" s="230"/>
      <c r="N9" s="230"/>
      <c r="O9" s="230"/>
      <c r="P9" s="230"/>
      <c r="Q9" s="230"/>
      <c r="R9" s="230"/>
      <c r="S9" s="230"/>
      <c r="T9" s="230"/>
      <c r="U9" s="230"/>
    </row>
    <row r="10" spans="1:21" ht="15">
      <c r="A10" s="230"/>
      <c r="B10" s="230"/>
      <c r="C10" s="230"/>
      <c r="D10" s="230"/>
      <c r="E10" s="230"/>
      <c r="F10" s="230"/>
      <c r="G10" s="230"/>
      <c r="H10" s="230"/>
      <c r="I10" s="230"/>
      <c r="J10" s="230"/>
      <c r="K10" s="230"/>
      <c r="L10" s="230"/>
      <c r="M10" s="230"/>
      <c r="N10" s="230"/>
      <c r="O10" s="230"/>
      <c r="P10" s="230"/>
      <c r="Q10" s="230"/>
      <c r="R10" s="230"/>
      <c r="S10" s="230"/>
      <c r="T10" s="230"/>
      <c r="U10" s="230"/>
    </row>
    <row r="11" spans="1:21" ht="15">
      <c r="A11" s="230"/>
      <c r="B11" s="230"/>
      <c r="C11" s="230"/>
      <c r="D11" s="230"/>
      <c r="E11" s="230"/>
      <c r="F11" s="230"/>
      <c r="G11" s="230"/>
      <c r="H11" s="230"/>
      <c r="I11" s="230"/>
      <c r="J11" s="230"/>
      <c r="K11" s="230"/>
      <c r="L11" s="230"/>
      <c r="M11" s="230"/>
      <c r="N11" s="230"/>
      <c r="O11" s="230"/>
      <c r="P11" s="230"/>
      <c r="Q11" s="230"/>
      <c r="R11" s="230"/>
      <c r="S11" s="230"/>
      <c r="T11" s="230"/>
      <c r="U11" s="230"/>
    </row>
    <row r="12" spans="1:21" ht="15">
      <c r="A12" s="230" t="s">
        <v>195</v>
      </c>
      <c r="B12" s="591">
        <f ca="1">NOW()</f>
        <v>42128.918738657405</v>
      </c>
      <c r="C12" s="591"/>
      <c r="D12" s="591"/>
      <c r="E12" s="230"/>
      <c r="F12" s="230"/>
      <c r="G12" s="230"/>
      <c r="H12" s="230"/>
      <c r="I12" s="230" t="s">
        <v>197</v>
      </c>
      <c r="J12" s="230"/>
      <c r="K12" s="230"/>
      <c r="L12" s="230"/>
      <c r="M12" s="230"/>
      <c r="N12" s="230"/>
      <c r="O12" s="230"/>
      <c r="P12" s="230"/>
      <c r="Q12" s="230"/>
      <c r="R12" s="230"/>
      <c r="S12" s="230"/>
      <c r="T12" s="230"/>
      <c r="U12" s="230"/>
    </row>
    <row r="13" spans="1:22" ht="15.75">
      <c r="A13" s="255" t="s">
        <v>196</v>
      </c>
      <c r="B13" s="255"/>
      <c r="C13" s="255"/>
      <c r="D13" s="255"/>
      <c r="E13" s="255"/>
      <c r="F13" s="255"/>
      <c r="G13" s="255"/>
      <c r="H13" s="255"/>
      <c r="I13" s="255"/>
      <c r="J13" s="255"/>
      <c r="K13" s="255"/>
      <c r="L13" s="255"/>
      <c r="M13" s="255"/>
      <c r="N13" s="255"/>
      <c r="O13" s="255"/>
      <c r="P13" s="255"/>
      <c r="Q13" s="255"/>
      <c r="R13" s="255"/>
      <c r="S13" s="255"/>
      <c r="T13" s="255"/>
      <c r="U13" s="255"/>
      <c r="V13" s="10"/>
    </row>
    <row r="14" spans="1:22" ht="15.75">
      <c r="A14" s="255"/>
      <c r="B14" s="255"/>
      <c r="C14" s="255"/>
      <c r="D14" s="255"/>
      <c r="E14" s="255"/>
      <c r="F14" s="255"/>
      <c r="G14" s="255"/>
      <c r="H14" s="255"/>
      <c r="I14" s="255" t="str">
        <f>"Name: "&amp;Data!G6</f>
        <v>Name: Sri S Nithin</v>
      </c>
      <c r="J14" s="230"/>
      <c r="K14" s="255"/>
      <c r="L14" s="255"/>
      <c r="M14" s="255"/>
      <c r="N14" s="255"/>
      <c r="O14" s="587"/>
      <c r="P14" s="587"/>
      <c r="Q14" s="587"/>
      <c r="R14" s="587"/>
      <c r="S14" s="587"/>
      <c r="T14" s="587"/>
      <c r="U14" s="587"/>
      <c r="V14" s="10"/>
    </row>
    <row r="15" spans="1:22" ht="6" customHeight="1">
      <c r="A15" s="255"/>
      <c r="B15" s="255"/>
      <c r="C15" s="255"/>
      <c r="D15" s="255"/>
      <c r="E15" s="255"/>
      <c r="F15" s="255"/>
      <c r="G15" s="255"/>
      <c r="H15" s="255"/>
      <c r="I15" s="255"/>
      <c r="J15" s="255"/>
      <c r="K15" s="255"/>
      <c r="L15" s="255"/>
      <c r="M15" s="255"/>
      <c r="N15" s="255"/>
      <c r="O15" s="255"/>
      <c r="P15" s="255"/>
      <c r="Q15" s="255"/>
      <c r="R15" s="255"/>
      <c r="S15" s="255"/>
      <c r="T15" s="255"/>
      <c r="U15" s="255"/>
      <c r="V15" s="10"/>
    </row>
    <row r="16" spans="1:22" ht="15.75">
      <c r="A16" s="255"/>
      <c r="B16" s="255"/>
      <c r="C16" s="255"/>
      <c r="D16" s="255"/>
      <c r="E16" s="255"/>
      <c r="F16" s="255"/>
      <c r="G16" s="255"/>
      <c r="H16" s="255"/>
      <c r="I16" s="255" t="str">
        <f>"Designation: "&amp;IF(Data!AG57&lt;&gt;15,Data!AH57,Data!AB53)</f>
        <v>Designation: SA(Hin)</v>
      </c>
      <c r="J16" s="230"/>
      <c r="K16" s="255"/>
      <c r="L16" s="255"/>
      <c r="M16" s="255"/>
      <c r="N16" s="255"/>
      <c r="O16" s="255"/>
      <c r="P16" s="255"/>
      <c r="Q16" s="255"/>
      <c r="R16" s="255"/>
      <c r="S16" s="255"/>
      <c r="T16" s="255"/>
      <c r="U16" s="255"/>
      <c r="V16" s="10"/>
    </row>
    <row r="17" spans="1:22" ht="7.5" customHeight="1">
      <c r="A17" s="255"/>
      <c r="B17" s="255"/>
      <c r="C17" s="255"/>
      <c r="D17" s="255"/>
      <c r="E17" s="255"/>
      <c r="F17" s="255"/>
      <c r="G17" s="255"/>
      <c r="H17" s="255"/>
      <c r="I17" s="255"/>
      <c r="J17" s="255"/>
      <c r="K17" s="255"/>
      <c r="L17" s="255"/>
      <c r="M17" s="255"/>
      <c r="N17" s="255"/>
      <c r="O17" s="255"/>
      <c r="P17" s="255"/>
      <c r="Q17" s="255"/>
      <c r="R17" s="255"/>
      <c r="S17" s="255"/>
      <c r="T17" s="255"/>
      <c r="U17" s="255"/>
      <c r="V17" s="10"/>
    </row>
    <row r="18" spans="1:21" ht="15">
      <c r="A18" s="230"/>
      <c r="B18" s="230"/>
      <c r="C18" s="230"/>
      <c r="D18" s="230"/>
      <c r="E18" s="230"/>
      <c r="F18" s="230"/>
      <c r="G18" s="230"/>
      <c r="H18" s="230"/>
      <c r="I18" s="230" t="s">
        <v>198</v>
      </c>
      <c r="J18" s="230"/>
      <c r="K18" s="230"/>
      <c r="L18" s="230"/>
      <c r="M18" s="230"/>
      <c r="N18" s="230"/>
      <c r="O18" s="230"/>
      <c r="P18" s="230"/>
      <c r="Q18" s="230"/>
      <c r="R18" s="230"/>
      <c r="S18" s="230"/>
      <c r="T18" s="230"/>
      <c r="U18" s="230"/>
    </row>
    <row r="19" spans="1:21" ht="15">
      <c r="A19" s="230"/>
      <c r="B19" s="230"/>
      <c r="C19" s="230"/>
      <c r="D19" s="230"/>
      <c r="E19" s="230"/>
      <c r="F19" s="230"/>
      <c r="G19" s="230"/>
      <c r="H19" s="230"/>
      <c r="I19" s="230" t="str">
        <f>Data!G7&amp;", "&amp;Data!L7&amp;" Mandal"</f>
        <v>M.D Mangalam, G D Nellore Mandal</v>
      </c>
      <c r="J19" s="230"/>
      <c r="K19" s="230"/>
      <c r="L19" s="230"/>
      <c r="M19" s="230"/>
      <c r="N19" s="230"/>
      <c r="O19" s="230"/>
      <c r="P19" s="230"/>
      <c r="Q19" s="230"/>
      <c r="R19" s="230"/>
      <c r="S19" s="230"/>
      <c r="T19" s="230"/>
      <c r="U19" s="230"/>
    </row>
    <row r="20" spans="1:21" ht="15">
      <c r="A20" s="230"/>
      <c r="B20" s="230"/>
      <c r="C20" s="230"/>
      <c r="D20" s="230"/>
      <c r="E20" s="230"/>
      <c r="F20" s="230"/>
      <c r="G20" s="230"/>
      <c r="H20" s="230"/>
      <c r="I20" s="230"/>
      <c r="J20" s="230"/>
      <c r="K20" s="230"/>
      <c r="L20" s="230"/>
      <c r="M20" s="230"/>
      <c r="N20" s="230"/>
      <c r="O20" s="230"/>
      <c r="P20" s="230"/>
      <c r="Q20" s="230"/>
      <c r="R20" s="230"/>
      <c r="S20" s="230"/>
      <c r="T20" s="230"/>
      <c r="U20" s="230"/>
    </row>
    <row r="21" spans="1:21" ht="15">
      <c r="A21" s="230"/>
      <c r="B21" s="230"/>
      <c r="C21" s="230"/>
      <c r="D21" s="230"/>
      <c r="E21" s="230"/>
      <c r="F21" s="230"/>
      <c r="G21" s="230"/>
      <c r="H21" s="230"/>
      <c r="I21" s="230"/>
      <c r="J21" s="230"/>
      <c r="K21" s="230"/>
      <c r="L21" s="230"/>
      <c r="M21" s="230"/>
      <c r="N21" s="230"/>
      <c r="O21" s="230"/>
      <c r="P21" s="230"/>
      <c r="Q21" s="230"/>
      <c r="R21" s="230"/>
      <c r="S21" s="230"/>
      <c r="T21" s="230"/>
      <c r="U21" s="230"/>
    </row>
    <row r="22" spans="1:21" ht="30" customHeight="1">
      <c r="A22" s="230"/>
      <c r="B22" s="230"/>
      <c r="C22" s="230"/>
      <c r="D22" s="230"/>
      <c r="E22" s="230"/>
      <c r="F22" s="230"/>
      <c r="G22" s="230"/>
      <c r="H22" s="230"/>
      <c r="I22" s="588" t="s">
        <v>202</v>
      </c>
      <c r="J22" s="588"/>
      <c r="K22" s="588"/>
      <c r="L22" s="588"/>
      <c r="M22" s="230"/>
      <c r="N22" s="230"/>
      <c r="O22" s="230"/>
      <c r="P22" s="230"/>
      <c r="Q22" s="230"/>
      <c r="R22" s="230"/>
      <c r="S22" s="230"/>
      <c r="T22" s="230"/>
      <c r="U22" s="230"/>
    </row>
    <row r="23" spans="1:21" ht="15.75">
      <c r="A23" s="230"/>
      <c r="B23" s="230"/>
      <c r="C23" s="230"/>
      <c r="D23" s="230"/>
      <c r="E23" s="230"/>
      <c r="F23" s="230"/>
      <c r="G23" s="230"/>
      <c r="H23" s="230"/>
      <c r="I23" s="255" t="s">
        <v>203</v>
      </c>
      <c r="J23" s="230"/>
      <c r="K23" s="590">
        <f>B12+1</f>
        <v>42129.918738657405</v>
      </c>
      <c r="L23" s="590"/>
      <c r="M23" s="590"/>
      <c r="N23" s="230"/>
      <c r="O23" s="230"/>
      <c r="P23" s="230"/>
      <c r="Q23" s="230"/>
      <c r="R23" s="230"/>
      <c r="S23" s="230"/>
      <c r="T23" s="230"/>
      <c r="U23" s="230"/>
    </row>
    <row r="24" spans="1:21" ht="15.75">
      <c r="A24" s="230"/>
      <c r="B24" s="230"/>
      <c r="C24" s="230"/>
      <c r="D24" s="230"/>
      <c r="E24" s="230"/>
      <c r="F24" s="230"/>
      <c r="G24" s="230"/>
      <c r="H24" s="230"/>
      <c r="I24" s="255" t="s">
        <v>204</v>
      </c>
      <c r="J24" s="255"/>
      <c r="K24" s="255"/>
      <c r="L24" s="255"/>
      <c r="M24" s="255"/>
      <c r="N24" s="255"/>
      <c r="O24" s="255"/>
      <c r="P24" s="255"/>
      <c r="Q24" s="255"/>
      <c r="R24" s="255"/>
      <c r="S24" s="255"/>
      <c r="T24" s="230"/>
      <c r="U24" s="230"/>
    </row>
    <row r="25" spans="1:21" ht="15">
      <c r="A25" s="230"/>
      <c r="B25" s="230"/>
      <c r="C25" s="230"/>
      <c r="D25" s="230"/>
      <c r="E25" s="230"/>
      <c r="F25" s="230"/>
      <c r="G25" s="230"/>
      <c r="H25" s="230"/>
      <c r="I25" s="230"/>
      <c r="J25" s="230"/>
      <c r="K25" s="230"/>
      <c r="L25" s="230"/>
      <c r="M25" s="230"/>
      <c r="N25" s="230"/>
      <c r="O25" s="230"/>
      <c r="P25" s="230"/>
      <c r="Q25" s="230"/>
      <c r="R25" s="230"/>
      <c r="S25" s="230"/>
      <c r="T25" s="230"/>
      <c r="U25" s="230"/>
    </row>
    <row r="26" spans="1:21" ht="15">
      <c r="A26" s="230"/>
      <c r="B26" s="230"/>
      <c r="C26" s="230"/>
      <c r="D26" s="230"/>
      <c r="E26" s="230"/>
      <c r="F26" s="230"/>
      <c r="G26" s="230"/>
      <c r="H26" s="230"/>
      <c r="I26" s="230"/>
      <c r="J26" s="230"/>
      <c r="K26" s="230"/>
      <c r="L26" s="230"/>
      <c r="M26" s="230"/>
      <c r="N26" s="230"/>
      <c r="O26" s="230"/>
      <c r="P26" s="230"/>
      <c r="Q26" s="230"/>
      <c r="R26" s="230"/>
      <c r="S26" s="230"/>
      <c r="T26" s="230"/>
      <c r="U26" s="230"/>
    </row>
    <row r="27" spans="1:21" ht="15">
      <c r="A27" s="230"/>
      <c r="B27" s="230"/>
      <c r="C27" s="230"/>
      <c r="D27" s="230"/>
      <c r="E27" s="230"/>
      <c r="F27" s="230"/>
      <c r="G27" s="230"/>
      <c r="H27" s="230"/>
      <c r="I27" s="230"/>
      <c r="J27" s="230"/>
      <c r="K27" s="230"/>
      <c r="L27" s="230"/>
      <c r="M27" s="230"/>
      <c r="N27" s="230"/>
      <c r="O27" s="230"/>
      <c r="P27" s="230"/>
      <c r="Q27" s="230"/>
      <c r="R27" s="230"/>
      <c r="S27" s="230"/>
      <c r="T27" s="230"/>
      <c r="U27" s="230"/>
    </row>
    <row r="28" spans="1:21" ht="15">
      <c r="A28" s="230"/>
      <c r="B28" s="230"/>
      <c r="C28" s="230"/>
      <c r="D28" s="230"/>
      <c r="E28" s="230"/>
      <c r="F28" s="230"/>
      <c r="G28" s="230"/>
      <c r="H28" s="230"/>
      <c r="I28" s="230"/>
      <c r="J28" s="230"/>
      <c r="K28" s="230"/>
      <c r="L28" s="230"/>
      <c r="M28" s="230"/>
      <c r="N28" s="230"/>
      <c r="O28" s="230"/>
      <c r="P28" s="230"/>
      <c r="Q28" s="230"/>
      <c r="R28" s="230"/>
      <c r="S28" s="230"/>
      <c r="T28" s="230"/>
      <c r="U28" s="230"/>
    </row>
    <row r="29" spans="1:21" ht="15">
      <c r="A29" s="230"/>
      <c r="B29" s="230"/>
      <c r="C29" s="230"/>
      <c r="D29" s="230"/>
      <c r="E29" s="230"/>
      <c r="F29" s="230"/>
      <c r="G29" s="230"/>
      <c r="H29" s="230"/>
      <c r="I29" s="230"/>
      <c r="J29" s="230"/>
      <c r="K29" s="230"/>
      <c r="L29" s="230"/>
      <c r="M29" s="230"/>
      <c r="N29" s="230"/>
      <c r="O29" s="230"/>
      <c r="P29" s="230"/>
      <c r="Q29" s="230"/>
      <c r="R29" s="230"/>
      <c r="S29" s="230"/>
      <c r="T29" s="230"/>
      <c r="U29" s="230"/>
    </row>
    <row r="30" spans="1:21" ht="30.75" customHeight="1">
      <c r="A30" s="230"/>
      <c r="B30" s="230"/>
      <c r="C30" s="230"/>
      <c r="D30" s="230"/>
      <c r="E30" s="230"/>
      <c r="F30" s="230"/>
      <c r="G30" s="230"/>
      <c r="H30" s="230"/>
      <c r="I30" s="588" t="s">
        <v>564</v>
      </c>
      <c r="J30" s="587"/>
      <c r="K30" s="587"/>
      <c r="L30" s="587"/>
      <c r="M30" s="587"/>
      <c r="N30" s="587"/>
      <c r="O30" s="587"/>
      <c r="P30" s="255"/>
      <c r="Q30" s="255"/>
      <c r="R30" s="255"/>
      <c r="S30" s="255"/>
      <c r="T30" s="230"/>
      <c r="U30" s="230"/>
    </row>
    <row r="31" spans="1:21" ht="15.75">
      <c r="A31" s="230" t="s">
        <v>205</v>
      </c>
      <c r="B31" s="255" t="s">
        <v>206</v>
      </c>
      <c r="C31" s="255"/>
      <c r="D31" s="255"/>
      <c r="E31" s="255"/>
      <c r="F31" s="255"/>
      <c r="G31" s="255"/>
      <c r="H31" s="255"/>
      <c r="I31" s="255"/>
      <c r="J31" s="230"/>
      <c r="K31" s="230"/>
      <c r="L31" s="230"/>
      <c r="M31" s="230"/>
      <c r="N31" s="230"/>
      <c r="O31" s="230"/>
      <c r="P31" s="230"/>
      <c r="Q31" s="230"/>
      <c r="R31" s="230"/>
      <c r="S31" s="230"/>
      <c r="T31" s="230"/>
      <c r="U31" s="230"/>
    </row>
    <row r="32" spans="1:21" ht="15.75">
      <c r="A32" s="230"/>
      <c r="B32" s="255" t="s">
        <v>207</v>
      </c>
      <c r="C32" s="255" t="s">
        <v>208</v>
      </c>
      <c r="D32" s="255"/>
      <c r="E32" s="255"/>
      <c r="F32" s="255"/>
      <c r="G32" s="255"/>
      <c r="H32" s="255"/>
      <c r="I32" s="255"/>
      <c r="J32" s="230"/>
      <c r="K32" s="230"/>
      <c r="L32" s="230"/>
      <c r="M32" s="230"/>
      <c r="N32" s="230"/>
      <c r="O32" s="230"/>
      <c r="P32" s="230"/>
      <c r="Q32" s="230"/>
      <c r="R32" s="230"/>
      <c r="S32" s="230"/>
      <c r="T32" s="230"/>
      <c r="U32" s="230"/>
    </row>
    <row r="33" spans="1:21" ht="8.25" customHeight="1">
      <c r="A33" s="230"/>
      <c r="B33" s="230"/>
      <c r="C33" s="230"/>
      <c r="D33" s="230"/>
      <c r="E33" s="230"/>
      <c r="F33" s="230"/>
      <c r="G33" s="230"/>
      <c r="H33" s="230"/>
      <c r="I33" s="230"/>
      <c r="J33" s="230"/>
      <c r="K33" s="230"/>
      <c r="L33" s="230"/>
      <c r="M33" s="230"/>
      <c r="N33" s="230"/>
      <c r="O33" s="230"/>
      <c r="P33" s="230"/>
      <c r="Q33" s="230"/>
      <c r="R33" s="230"/>
      <c r="S33" s="230"/>
      <c r="T33" s="230"/>
      <c r="U33" s="230"/>
    </row>
    <row r="34" spans="1:21" ht="15">
      <c r="A34" s="230"/>
      <c r="B34" s="230" t="s">
        <v>663</v>
      </c>
      <c r="C34" s="230"/>
      <c r="D34" s="230"/>
      <c r="E34" s="230"/>
      <c r="F34" s="230"/>
      <c r="G34" s="230"/>
      <c r="H34" s="230"/>
      <c r="I34" s="230"/>
      <c r="J34" s="230"/>
      <c r="K34" s="230"/>
      <c r="L34" s="230"/>
      <c r="M34" s="230"/>
      <c r="N34" s="230"/>
      <c r="O34" s="230"/>
      <c r="P34" s="230"/>
      <c r="Q34" s="230"/>
      <c r="R34" s="230"/>
      <c r="S34" s="230"/>
      <c r="T34" s="230"/>
      <c r="U34" s="230"/>
    </row>
    <row r="35" spans="1:21" ht="15.75">
      <c r="A35" s="255" t="s">
        <v>209</v>
      </c>
      <c r="B35" s="255"/>
      <c r="C35" s="589">
        <f ca="1">DATE(YEAR(NOW()),MONTH(NOW()),DAY(NOW()))</f>
        <v>42128</v>
      </c>
      <c r="D35" s="589"/>
      <c r="E35" s="589"/>
      <c r="F35" s="255"/>
      <c r="G35" s="255"/>
      <c r="H35" s="255"/>
      <c r="I35" s="255"/>
      <c r="J35" s="255"/>
      <c r="K35" s="255" t="s">
        <v>210</v>
      </c>
      <c r="L35" s="255"/>
      <c r="M35" s="255"/>
      <c r="N35" s="255"/>
      <c r="O35" s="255"/>
      <c r="P35" s="256" t="s">
        <v>211</v>
      </c>
      <c r="Q35" s="255"/>
      <c r="R35" s="255"/>
      <c r="S35" s="255"/>
      <c r="T35" s="255"/>
      <c r="U35" s="255"/>
    </row>
    <row r="36" spans="1:21" ht="15.75">
      <c r="A36" s="255"/>
      <c r="B36" s="255"/>
      <c r="C36" s="255"/>
      <c r="D36" s="255"/>
      <c r="E36" s="255"/>
      <c r="F36" s="255"/>
      <c r="G36" s="255"/>
      <c r="H36" s="255"/>
      <c r="I36" s="587" t="s">
        <v>212</v>
      </c>
      <c r="J36" s="587"/>
      <c r="K36" s="587"/>
      <c r="L36" s="587"/>
      <c r="M36" s="587"/>
      <c r="N36" s="587"/>
      <c r="O36" s="587"/>
      <c r="P36" s="257"/>
      <c r="Q36" s="257"/>
      <c r="R36" s="257"/>
      <c r="S36" s="257"/>
      <c r="T36" s="257"/>
      <c r="U36" s="257"/>
    </row>
    <row r="37" spans="1:21" ht="15">
      <c r="A37" s="230"/>
      <c r="B37" s="230"/>
      <c r="C37" s="230"/>
      <c r="D37" s="230"/>
      <c r="E37" s="230"/>
      <c r="F37" s="230"/>
      <c r="G37" s="230"/>
      <c r="H37" s="230"/>
      <c r="I37" s="230"/>
      <c r="J37" s="230"/>
      <c r="K37" s="230"/>
      <c r="L37" s="230"/>
      <c r="M37" s="230"/>
      <c r="N37" s="230"/>
      <c r="O37" s="230"/>
      <c r="P37" s="230"/>
      <c r="Q37" s="230"/>
      <c r="R37" s="230"/>
      <c r="S37" s="230"/>
      <c r="T37" s="230"/>
      <c r="U37" s="230"/>
    </row>
  </sheetData>
  <sheetProtection password="DE3D" sheet="1"/>
  <protectedRanges>
    <protectedRange sqref="I14 A13:V13 A14:H17 K14:V17 I16 I15:J15 I17:J17" name="Range1"/>
    <protectedRange sqref="I22:L22" name="Range1_2"/>
    <protectedRange sqref="I23" name="Range1_3"/>
    <protectedRange sqref="I24:S24" name="Range1_4"/>
    <protectedRange sqref="I30:S30" name="Range1_5"/>
    <protectedRange sqref="B31:I32" name="Range1_6"/>
    <protectedRange sqref="I36 N35:U36 K36:M36 K35:L35 A35:H36 I35:J35" name="Range1_7"/>
  </protectedRanges>
  <mergeCells count="12">
    <mergeCell ref="K23:M23"/>
    <mergeCell ref="B12:D12"/>
    <mergeCell ref="A1:O1"/>
    <mergeCell ref="A2:O2"/>
    <mergeCell ref="A4:O4"/>
    <mergeCell ref="O14:U14"/>
    <mergeCell ref="A6:O6"/>
    <mergeCell ref="I36:O36"/>
    <mergeCell ref="A8:O8"/>
    <mergeCell ref="I22:L22"/>
    <mergeCell ref="I30:O30"/>
    <mergeCell ref="C35:E3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V86"/>
  <sheetViews>
    <sheetView showGridLines="0" showRowColHeaders="0" zoomScalePageLayoutView="0" workbookViewId="0" topLeftCell="A1">
      <selection activeCell="AF24" sqref="AF24"/>
    </sheetView>
  </sheetViews>
  <sheetFormatPr defaultColWidth="9.140625" defaultRowHeight="15"/>
  <cols>
    <col min="1" max="1" width="4.00390625" style="0" customWidth="1"/>
    <col min="2" max="10" width="4.28125" style="0" customWidth="1"/>
    <col min="11" max="11" width="8.28125" style="0" customWidth="1"/>
    <col min="12" max="12" width="1.7109375" style="292" customWidth="1"/>
    <col min="13" max="13" width="4.28125" style="0" customWidth="1"/>
    <col min="14" max="16" width="4.8515625" style="0" customWidth="1"/>
    <col min="17" max="17" width="4.28125" style="0" customWidth="1"/>
    <col min="18" max="18" width="3.7109375" style="0" customWidth="1"/>
    <col min="19" max="21" width="4.28125" style="0" customWidth="1"/>
    <col min="22" max="22" width="8.140625" style="0" customWidth="1"/>
  </cols>
  <sheetData>
    <row r="1" spans="1:22" ht="20.25">
      <c r="A1" s="603" t="s">
        <v>213</v>
      </c>
      <c r="B1" s="603"/>
      <c r="C1" s="603"/>
      <c r="D1" s="603"/>
      <c r="E1" s="603"/>
      <c r="F1" s="603"/>
      <c r="G1" s="603"/>
      <c r="H1" s="603"/>
      <c r="I1" s="603"/>
      <c r="J1" s="603"/>
      <c r="K1" s="603"/>
      <c r="L1" s="603"/>
      <c r="M1" s="603"/>
      <c r="N1" s="603"/>
      <c r="O1" s="603"/>
      <c r="P1" s="603"/>
      <c r="Q1" s="603"/>
      <c r="R1" s="603"/>
      <c r="S1" s="603"/>
      <c r="T1" s="603"/>
      <c r="U1" s="603"/>
      <c r="V1" s="603"/>
    </row>
    <row r="2" spans="1:22" ht="3.75" customHeight="1">
      <c r="A2" s="12"/>
      <c r="B2" s="13"/>
      <c r="C2" s="13"/>
      <c r="D2" s="13"/>
      <c r="E2" s="13"/>
      <c r="F2" s="13"/>
      <c r="G2" s="13"/>
      <c r="H2" s="13"/>
      <c r="I2" s="13"/>
      <c r="J2" s="13"/>
      <c r="K2" s="14"/>
      <c r="L2" s="316"/>
      <c r="M2" s="15"/>
      <c r="N2" s="15"/>
      <c r="O2" s="15"/>
      <c r="P2" s="15"/>
      <c r="Q2" s="15"/>
      <c r="R2" s="15"/>
      <c r="S2" s="12"/>
      <c r="T2" s="12"/>
      <c r="U2" s="12"/>
      <c r="V2" s="12"/>
    </row>
    <row r="3" spans="1:22" ht="16.5">
      <c r="A3" s="604" t="s">
        <v>214</v>
      </c>
      <c r="B3" s="604"/>
      <c r="C3" s="604"/>
      <c r="D3" s="604"/>
      <c r="E3" s="604"/>
      <c r="F3" s="604"/>
      <c r="G3" s="604"/>
      <c r="H3" s="604"/>
      <c r="I3" s="604"/>
      <c r="J3" s="604"/>
      <c r="K3" s="604"/>
      <c r="L3" s="604"/>
      <c r="M3" s="604"/>
      <c r="N3" s="604"/>
      <c r="O3" s="604"/>
      <c r="P3" s="604"/>
      <c r="Q3" s="604"/>
      <c r="R3" s="604"/>
      <c r="S3" s="604"/>
      <c r="T3" s="604"/>
      <c r="U3" s="604"/>
      <c r="V3" s="604"/>
    </row>
    <row r="4" spans="1:22" ht="15">
      <c r="A4" s="605" t="s">
        <v>666</v>
      </c>
      <c r="B4" s="605"/>
      <c r="C4" s="605"/>
      <c r="D4" s="605"/>
      <c r="E4" s="605"/>
      <c r="F4" s="605"/>
      <c r="G4" s="605"/>
      <c r="H4" s="605"/>
      <c r="I4" s="605"/>
      <c r="J4" s="605"/>
      <c r="K4" s="605"/>
      <c r="L4" s="605"/>
      <c r="M4" s="605"/>
      <c r="N4" s="605"/>
      <c r="O4" s="605"/>
      <c r="P4" s="605"/>
      <c r="Q4" s="605"/>
      <c r="R4" s="605"/>
      <c r="S4" s="605"/>
      <c r="T4" s="605"/>
      <c r="U4" s="605"/>
      <c r="V4" s="605"/>
    </row>
    <row r="5" spans="1:22" ht="15">
      <c r="A5" s="12" t="s">
        <v>205</v>
      </c>
      <c r="B5" s="12">
        <v>1</v>
      </c>
      <c r="C5" s="13" t="s">
        <v>215</v>
      </c>
      <c r="D5" s="13"/>
      <c r="E5" s="13"/>
      <c r="F5" s="13"/>
      <c r="G5" s="13"/>
      <c r="H5" s="13"/>
      <c r="I5" s="13"/>
      <c r="J5" s="13"/>
      <c r="K5" s="14"/>
      <c r="L5" s="316"/>
      <c r="M5" s="15"/>
      <c r="N5" s="15"/>
      <c r="O5" s="15"/>
      <c r="P5" s="15"/>
      <c r="Q5" s="15"/>
      <c r="R5" s="15"/>
      <c r="S5" s="12"/>
      <c r="T5" s="12"/>
      <c r="U5" s="12"/>
      <c r="V5" s="12"/>
    </row>
    <row r="6" spans="1:22" ht="26.25" customHeight="1">
      <c r="A6" s="12"/>
      <c r="B6" s="12">
        <v>2</v>
      </c>
      <c r="C6" s="611" t="s">
        <v>571</v>
      </c>
      <c r="D6" s="611"/>
      <c r="E6" s="611"/>
      <c r="F6" s="611"/>
      <c r="G6" s="611"/>
      <c r="H6" s="611"/>
      <c r="I6" s="611"/>
      <c r="J6" s="611"/>
      <c r="K6" s="611"/>
      <c r="L6" s="611"/>
      <c r="M6" s="611"/>
      <c r="N6" s="611"/>
      <c r="O6" s="611"/>
      <c r="P6" s="611"/>
      <c r="Q6" s="611"/>
      <c r="R6" s="611"/>
      <c r="S6" s="611"/>
      <c r="T6" s="611"/>
      <c r="U6" s="611"/>
      <c r="V6" s="611"/>
    </row>
    <row r="7" spans="1:22" ht="8.25" customHeight="1">
      <c r="A7" s="12"/>
      <c r="B7" s="13"/>
      <c r="C7" s="13"/>
      <c r="D7" s="13"/>
      <c r="E7" s="13"/>
      <c r="F7" s="13"/>
      <c r="G7" s="13"/>
      <c r="H7" s="13"/>
      <c r="I7" s="13"/>
      <c r="J7" s="13"/>
      <c r="K7" s="14"/>
      <c r="L7" s="316"/>
      <c r="M7" s="15"/>
      <c r="N7" s="15"/>
      <c r="O7" s="15"/>
      <c r="P7" s="15"/>
      <c r="Q7" s="15"/>
      <c r="R7" s="15"/>
      <c r="S7" s="12"/>
      <c r="T7" s="12"/>
      <c r="U7" s="12"/>
      <c r="V7" s="12"/>
    </row>
    <row r="8" spans="1:22" ht="5.25" customHeight="1">
      <c r="A8" s="12"/>
      <c r="B8" s="13"/>
      <c r="C8" s="13"/>
      <c r="D8" s="13"/>
      <c r="E8" s="13"/>
      <c r="F8" s="13"/>
      <c r="G8" s="13"/>
      <c r="H8" s="13"/>
      <c r="I8" s="13"/>
      <c r="J8" s="13"/>
      <c r="K8" s="14"/>
      <c r="L8" s="316"/>
      <c r="M8" s="15"/>
      <c r="N8" s="15"/>
      <c r="O8" s="15"/>
      <c r="P8" s="15"/>
      <c r="Q8" s="15"/>
      <c r="R8" s="15"/>
      <c r="S8" s="12"/>
      <c r="T8" s="12"/>
      <c r="U8" s="12"/>
      <c r="V8" s="12"/>
    </row>
    <row r="9" spans="1:22" ht="15.75">
      <c r="A9" s="17">
        <v>1</v>
      </c>
      <c r="B9" s="18" t="s">
        <v>216</v>
      </c>
      <c r="C9" s="18"/>
      <c r="D9" s="18"/>
      <c r="E9" s="18"/>
      <c r="F9" s="18"/>
      <c r="G9" s="18"/>
      <c r="H9" s="18"/>
      <c r="I9" s="18"/>
      <c r="J9" s="18"/>
      <c r="K9" s="84"/>
      <c r="L9" s="315" t="s">
        <v>211</v>
      </c>
      <c r="M9" s="606" t="str">
        <f>Data!G6</f>
        <v>Sri S Nithin</v>
      </c>
      <c r="N9" s="606"/>
      <c r="O9" s="606"/>
      <c r="P9" s="606"/>
      <c r="Q9" s="606"/>
      <c r="R9" s="606"/>
      <c r="S9" s="606"/>
      <c r="T9" s="606"/>
      <c r="U9" s="606"/>
      <c r="V9" s="607"/>
    </row>
    <row r="10" spans="1:22" ht="15.75">
      <c r="A10" s="22">
        <v>2</v>
      </c>
      <c r="B10" s="564" t="s">
        <v>727</v>
      </c>
      <c r="C10" s="564"/>
      <c r="D10" s="564"/>
      <c r="E10" s="564"/>
      <c r="F10" s="564"/>
      <c r="G10" s="564"/>
      <c r="H10" s="564"/>
      <c r="I10" s="564"/>
      <c r="J10" s="564"/>
      <c r="K10" s="565"/>
      <c r="L10" s="315"/>
      <c r="M10" s="610" t="str">
        <f>Data!AB53</f>
        <v>School Assistant( English)</v>
      </c>
      <c r="N10" s="610"/>
      <c r="O10" s="610"/>
      <c r="P10" s="610"/>
      <c r="Q10" s="610"/>
      <c r="R10" s="610"/>
      <c r="S10" s="610"/>
      <c r="T10" s="610"/>
      <c r="U10" s="20"/>
      <c r="V10" s="21"/>
    </row>
    <row r="11" spans="1:22" ht="15.75">
      <c r="A11" s="25"/>
      <c r="B11" s="567"/>
      <c r="C11" s="567"/>
      <c r="D11" s="567"/>
      <c r="E11" s="567"/>
      <c r="F11" s="567"/>
      <c r="G11" s="567"/>
      <c r="H11" s="567"/>
      <c r="I11" s="567"/>
      <c r="J11" s="567"/>
      <c r="K11" s="568"/>
      <c r="L11" s="317"/>
      <c r="M11" s="608"/>
      <c r="N11" s="608"/>
      <c r="O11" s="608"/>
      <c r="P11" s="608"/>
      <c r="Q11" s="608"/>
      <c r="R11" s="608"/>
      <c r="S11" s="608"/>
      <c r="T11" s="608"/>
      <c r="U11" s="608"/>
      <c r="V11" s="609"/>
    </row>
    <row r="12" spans="1:22" ht="15.75">
      <c r="A12" s="25"/>
      <c r="B12" s="567"/>
      <c r="C12" s="567"/>
      <c r="D12" s="567"/>
      <c r="E12" s="567"/>
      <c r="F12" s="567"/>
      <c r="G12" s="567"/>
      <c r="H12" s="567"/>
      <c r="I12" s="567"/>
      <c r="J12" s="567"/>
      <c r="K12" s="568"/>
      <c r="L12" s="317"/>
      <c r="M12" s="612" t="str">
        <f>Data!AA78</f>
        <v>14860-39540</v>
      </c>
      <c r="N12" s="612"/>
      <c r="O12" s="612"/>
      <c r="P12" s="612"/>
      <c r="Q12" s="613" t="s">
        <v>218</v>
      </c>
      <c r="R12" s="613"/>
      <c r="S12" s="613"/>
      <c r="T12" s="613"/>
      <c r="U12" s="613"/>
      <c r="V12" s="29"/>
    </row>
    <row r="13" spans="1:22" ht="15.75">
      <c r="A13" s="30"/>
      <c r="B13" s="570"/>
      <c r="C13" s="570"/>
      <c r="D13" s="570"/>
      <c r="E13" s="570"/>
      <c r="F13" s="570"/>
      <c r="G13" s="570"/>
      <c r="H13" s="570"/>
      <c r="I13" s="570"/>
      <c r="J13" s="570"/>
      <c r="K13" s="571"/>
      <c r="L13" s="318"/>
      <c r="M13" s="614"/>
      <c r="N13" s="614"/>
      <c r="O13" s="614"/>
      <c r="P13" s="614"/>
      <c r="Q13" s="614"/>
      <c r="R13" s="614"/>
      <c r="S13" s="614"/>
      <c r="T13" s="33"/>
      <c r="U13" s="33"/>
      <c r="V13" s="34"/>
    </row>
    <row r="14" spans="1:22" ht="15.75">
      <c r="A14" s="22">
        <v>3</v>
      </c>
      <c r="B14" s="23" t="s">
        <v>219</v>
      </c>
      <c r="C14" s="23"/>
      <c r="D14" s="23"/>
      <c r="E14" s="23"/>
      <c r="F14" s="23"/>
      <c r="G14" s="23"/>
      <c r="H14" s="23"/>
      <c r="I14" s="23"/>
      <c r="J14" s="23"/>
      <c r="K14" s="24"/>
      <c r="L14" s="317"/>
      <c r="M14" s="615" t="s">
        <v>220</v>
      </c>
      <c r="N14" s="615"/>
      <c r="O14" s="615"/>
      <c r="P14" s="615"/>
      <c r="Q14" s="615"/>
      <c r="R14" s="615"/>
      <c r="S14" s="615"/>
      <c r="T14" s="615"/>
      <c r="U14" s="615"/>
      <c r="V14" s="616"/>
    </row>
    <row r="15" spans="1:22" ht="15">
      <c r="A15" s="22" t="s">
        <v>221</v>
      </c>
      <c r="B15" s="564" t="s">
        <v>692</v>
      </c>
      <c r="C15" s="564"/>
      <c r="D15" s="564"/>
      <c r="E15" s="564"/>
      <c r="F15" s="564"/>
      <c r="G15" s="564"/>
      <c r="H15" s="564"/>
      <c r="I15" s="564"/>
      <c r="J15" s="564"/>
      <c r="K15" s="564"/>
      <c r="L15" s="319" t="s">
        <v>211</v>
      </c>
      <c r="M15" s="656" t="s">
        <v>222</v>
      </c>
      <c r="N15" s="656"/>
      <c r="O15" s="656"/>
      <c r="P15" s="656"/>
      <c r="Q15" s="656"/>
      <c r="R15" s="656"/>
      <c r="S15" s="656"/>
      <c r="T15" s="656"/>
      <c r="U15" s="656"/>
      <c r="V15" s="657"/>
    </row>
    <row r="16" spans="1:22" ht="15">
      <c r="A16" s="25"/>
      <c r="B16" s="567"/>
      <c r="C16" s="567"/>
      <c r="D16" s="567"/>
      <c r="E16" s="567"/>
      <c r="F16" s="567"/>
      <c r="G16" s="567"/>
      <c r="H16" s="567"/>
      <c r="I16" s="567"/>
      <c r="J16" s="567"/>
      <c r="K16" s="567"/>
      <c r="L16" s="320"/>
      <c r="M16" s="615"/>
      <c r="N16" s="615"/>
      <c r="O16" s="615"/>
      <c r="P16" s="615"/>
      <c r="Q16" s="615"/>
      <c r="R16" s="615"/>
      <c r="S16" s="615"/>
      <c r="T16" s="615"/>
      <c r="U16" s="615"/>
      <c r="V16" s="616"/>
    </row>
    <row r="17" spans="1:22" ht="15.75">
      <c r="A17" s="35" t="s">
        <v>223</v>
      </c>
      <c r="B17" s="26" t="s">
        <v>224</v>
      </c>
      <c r="C17" s="26"/>
      <c r="D17" s="26"/>
      <c r="E17" s="26"/>
      <c r="F17" s="26"/>
      <c r="G17" s="26"/>
      <c r="H17" s="26"/>
      <c r="I17" s="26"/>
      <c r="J17" s="26"/>
      <c r="K17" s="27"/>
      <c r="L17" s="317" t="s">
        <v>211</v>
      </c>
      <c r="M17" s="618">
        <f ca="1">NOW()</f>
        <v>42128.918738657405</v>
      </c>
      <c r="N17" s="618"/>
      <c r="O17" s="618"/>
      <c r="P17" s="618"/>
      <c r="Q17" s="618"/>
      <c r="R17" s="618"/>
      <c r="S17" s="618"/>
      <c r="T17" s="618"/>
      <c r="U17" s="618"/>
      <c r="V17" s="619"/>
    </row>
    <row r="18" spans="1:22" ht="37.5" customHeight="1">
      <c r="A18" s="35" t="s">
        <v>225</v>
      </c>
      <c r="B18" s="567" t="s">
        <v>566</v>
      </c>
      <c r="C18" s="567"/>
      <c r="D18" s="567"/>
      <c r="E18" s="567"/>
      <c r="F18" s="567"/>
      <c r="G18" s="567"/>
      <c r="H18" s="567"/>
      <c r="I18" s="567"/>
      <c r="J18" s="567"/>
      <c r="K18" s="567"/>
      <c r="L18" s="317" t="s">
        <v>211</v>
      </c>
      <c r="M18" s="613" t="s">
        <v>567</v>
      </c>
      <c r="N18" s="613"/>
      <c r="O18" s="613"/>
      <c r="P18" s="613"/>
      <c r="Q18" s="613"/>
      <c r="R18" s="613"/>
      <c r="S18" s="613"/>
      <c r="T18" s="613"/>
      <c r="U18" s="613"/>
      <c r="V18" s="649"/>
    </row>
    <row r="19" spans="1:22" ht="56.25" customHeight="1">
      <c r="A19" s="25" t="s">
        <v>226</v>
      </c>
      <c r="B19" s="564" t="s">
        <v>562</v>
      </c>
      <c r="C19" s="564"/>
      <c r="D19" s="564"/>
      <c r="E19" s="564"/>
      <c r="F19" s="564"/>
      <c r="G19" s="564"/>
      <c r="H19" s="564"/>
      <c r="I19" s="564"/>
      <c r="J19" s="564"/>
      <c r="K19" s="565"/>
      <c r="L19" s="321"/>
      <c r="M19" s="629" t="str">
        <f>Data!AB88</f>
        <v>14860-420-15700-450-17050-490- 18520-530-20110-570-21820-610- 23650-650-25600-700-27700-750- 29950-800-32350-850-34900-900- 37600-970-39540 (38)</v>
      </c>
      <c r="N19" s="629"/>
      <c r="O19" s="629"/>
      <c r="P19" s="629"/>
      <c r="Q19" s="629"/>
      <c r="R19" s="629"/>
      <c r="S19" s="629"/>
      <c r="T19" s="629"/>
      <c r="U19" s="629"/>
      <c r="V19" s="630"/>
    </row>
    <row r="20" spans="1:22" ht="15.75">
      <c r="A20" s="17" t="s">
        <v>227</v>
      </c>
      <c r="B20" s="18" t="s">
        <v>228</v>
      </c>
      <c r="C20" s="18"/>
      <c r="D20" s="18"/>
      <c r="E20" s="18"/>
      <c r="F20" s="18"/>
      <c r="G20" s="18"/>
      <c r="H20" s="18"/>
      <c r="I20" s="18"/>
      <c r="J20" s="18"/>
      <c r="K20" s="277"/>
      <c r="L20" s="322" t="s">
        <v>211</v>
      </c>
      <c r="M20" s="636">
        <f>Data!I15</f>
        <v>18520</v>
      </c>
      <c r="N20" s="636"/>
      <c r="O20" s="636"/>
      <c r="P20" s="37"/>
      <c r="Q20" s="37"/>
      <c r="R20" s="37"/>
      <c r="S20" s="37"/>
      <c r="T20" s="37"/>
      <c r="U20" s="37"/>
      <c r="V20" s="38"/>
    </row>
    <row r="21" spans="1:22" ht="15">
      <c r="A21" s="39" t="s">
        <v>225</v>
      </c>
      <c r="B21" s="18" t="s">
        <v>229</v>
      </c>
      <c r="C21" s="18"/>
      <c r="D21" s="18"/>
      <c r="E21" s="18"/>
      <c r="F21" s="18"/>
      <c r="G21" s="18"/>
      <c r="H21" s="18"/>
      <c r="I21" s="18"/>
      <c r="J21" s="18"/>
      <c r="K21" s="277"/>
      <c r="L21" s="322" t="s">
        <v>211</v>
      </c>
      <c r="M21" s="650" t="str">
        <f>"FPI @ Rs."&amp;Data!O10&amp;"/- Addl.@ Rs."&amp;Data!Q10&amp;"/-"</f>
        <v>FPI @ Rs.50/- Addl.@ Rs.35/-</v>
      </c>
      <c r="N21" s="650"/>
      <c r="O21" s="650"/>
      <c r="P21" s="650"/>
      <c r="Q21" s="650"/>
      <c r="R21" s="650"/>
      <c r="S21" s="650"/>
      <c r="T21" s="650"/>
      <c r="U21" s="650"/>
      <c r="V21" s="651"/>
    </row>
    <row r="22" spans="1:22" ht="26.25" customHeight="1" hidden="1">
      <c r="A22" s="30" t="s">
        <v>230</v>
      </c>
      <c r="B22" s="617" t="s">
        <v>231</v>
      </c>
      <c r="C22" s="617"/>
      <c r="D22" s="617"/>
      <c r="E22" s="617"/>
      <c r="F22" s="617"/>
      <c r="G22" s="617"/>
      <c r="H22" s="617"/>
      <c r="I22" s="617"/>
      <c r="J22" s="617"/>
      <c r="K22" s="617"/>
      <c r="L22" s="323"/>
      <c r="M22" s="594" t="s">
        <v>166</v>
      </c>
      <c r="N22" s="594"/>
      <c r="O22" s="594"/>
      <c r="P22" s="43"/>
      <c r="Q22" s="43"/>
      <c r="R22" s="43"/>
      <c r="S22" s="43"/>
      <c r="T22" s="43"/>
      <c r="U22" s="43"/>
      <c r="V22" s="44"/>
    </row>
    <row r="23" spans="1:22" ht="15.75" hidden="1">
      <c r="A23" s="39" t="s">
        <v>223</v>
      </c>
      <c r="B23" s="18" t="s">
        <v>232</v>
      </c>
      <c r="C23" s="18"/>
      <c r="D23" s="18"/>
      <c r="E23" s="18"/>
      <c r="F23" s="18"/>
      <c r="G23" s="18"/>
      <c r="H23" s="18"/>
      <c r="I23" s="18"/>
      <c r="J23" s="18"/>
      <c r="K23" s="84"/>
      <c r="L23" s="322"/>
      <c r="M23" s="652" t="s">
        <v>233</v>
      </c>
      <c r="N23" s="652"/>
      <c r="O23" s="652"/>
      <c r="P23" s="45"/>
      <c r="Q23" s="45"/>
      <c r="R23" s="45"/>
      <c r="S23" s="45"/>
      <c r="T23" s="45"/>
      <c r="U23" s="45"/>
      <c r="V23" s="46"/>
    </row>
    <row r="24" spans="1:22" ht="15.75">
      <c r="A24" s="22">
        <v>6</v>
      </c>
      <c r="B24" s="26" t="s">
        <v>234</v>
      </c>
      <c r="C24" s="26"/>
      <c r="D24" s="26"/>
      <c r="E24" s="26"/>
      <c r="F24" s="26"/>
      <c r="G24" s="26"/>
      <c r="H24" s="26"/>
      <c r="I24" s="26"/>
      <c r="J24" s="26"/>
      <c r="K24" s="27"/>
      <c r="L24" s="317"/>
      <c r="M24" s="28"/>
      <c r="N24" s="28"/>
      <c r="O24" s="28"/>
      <c r="P24" s="28"/>
      <c r="Q24" s="28"/>
      <c r="R24" s="28"/>
      <c r="S24" s="28"/>
      <c r="T24" s="28"/>
      <c r="U24" s="28"/>
      <c r="V24" s="36"/>
    </row>
    <row r="25" spans="1:22" ht="29.25" customHeight="1">
      <c r="A25" s="35" t="s">
        <v>235</v>
      </c>
      <c r="B25" s="622" t="s">
        <v>236</v>
      </c>
      <c r="C25" s="622"/>
      <c r="D25" s="622"/>
      <c r="E25" s="622"/>
      <c r="F25" s="622"/>
      <c r="G25" s="622"/>
      <c r="H25" s="622"/>
      <c r="I25" s="622"/>
      <c r="J25" s="622"/>
      <c r="K25" s="622"/>
      <c r="L25" s="324" t="s">
        <v>211</v>
      </c>
      <c r="M25" s="623">
        <f>M20</f>
        <v>18520</v>
      </c>
      <c r="N25" s="623"/>
      <c r="O25" s="623"/>
      <c r="P25" s="623"/>
      <c r="Q25" s="623"/>
      <c r="R25" s="28"/>
      <c r="S25" s="28"/>
      <c r="T25" s="28"/>
      <c r="U25" s="28"/>
      <c r="V25" s="36"/>
    </row>
    <row r="26" spans="1:22" ht="39" customHeight="1">
      <c r="A26" s="35" t="s">
        <v>223</v>
      </c>
      <c r="B26" s="624" t="s">
        <v>563</v>
      </c>
      <c r="C26" s="624"/>
      <c r="D26" s="624"/>
      <c r="E26" s="624"/>
      <c r="F26" s="624"/>
      <c r="G26" s="624"/>
      <c r="H26" s="624"/>
      <c r="I26" s="624"/>
      <c r="J26" s="624"/>
      <c r="K26" s="624"/>
      <c r="L26" s="319" t="s">
        <v>211</v>
      </c>
      <c r="M26" s="654">
        <v>0</v>
      </c>
      <c r="N26" s="655"/>
      <c r="O26" s="655"/>
      <c r="P26" s="280"/>
      <c r="Q26" s="280"/>
      <c r="R26" s="20"/>
      <c r="S26" s="20"/>
      <c r="T26" s="20"/>
      <c r="U26" s="20"/>
      <c r="V26" s="21"/>
    </row>
    <row r="27" spans="1:22" ht="28.5" customHeight="1">
      <c r="A27" s="35" t="s">
        <v>225</v>
      </c>
      <c r="B27" s="564" t="s">
        <v>568</v>
      </c>
      <c r="C27" s="564"/>
      <c r="D27" s="564"/>
      <c r="E27" s="564"/>
      <c r="F27" s="564"/>
      <c r="G27" s="564"/>
      <c r="H27" s="564"/>
      <c r="I27" s="564"/>
      <c r="J27" s="564"/>
      <c r="K27" s="564"/>
      <c r="L27" s="315" t="s">
        <v>211</v>
      </c>
      <c r="M27" s="654">
        <v>0</v>
      </c>
      <c r="N27" s="655"/>
      <c r="O27" s="655"/>
      <c r="P27" s="655"/>
      <c r="Q27" s="655"/>
      <c r="R27" s="20"/>
      <c r="S27" s="20"/>
      <c r="T27" s="20"/>
      <c r="U27" s="20"/>
      <c r="V27" s="21"/>
    </row>
    <row r="28" spans="1:22" ht="36.75" customHeight="1">
      <c r="A28" s="35" t="s">
        <v>237</v>
      </c>
      <c r="B28" s="564" t="s">
        <v>569</v>
      </c>
      <c r="C28" s="564"/>
      <c r="D28" s="564"/>
      <c r="E28" s="564"/>
      <c r="F28" s="564"/>
      <c r="G28" s="564"/>
      <c r="H28" s="564"/>
      <c r="I28" s="564"/>
      <c r="J28" s="564"/>
      <c r="K28" s="564"/>
      <c r="L28" s="315"/>
      <c r="M28" s="653">
        <f>ROUND(M20*63.344%,0)</f>
        <v>11731</v>
      </c>
      <c r="N28" s="653"/>
      <c r="O28" s="653"/>
      <c r="P28" s="47"/>
      <c r="Q28" s="47"/>
      <c r="R28" s="20"/>
      <c r="S28" s="20"/>
      <c r="T28" s="20"/>
      <c r="U28" s="20"/>
      <c r="V28" s="21"/>
    </row>
    <row r="29" spans="1:22" ht="16.5" thickBot="1">
      <c r="A29" s="50"/>
      <c r="B29" s="51" t="s">
        <v>238</v>
      </c>
      <c r="C29" s="51"/>
      <c r="D29" s="51"/>
      <c r="E29" s="51"/>
      <c r="F29" s="51"/>
      <c r="G29" s="51"/>
      <c r="H29" s="51"/>
      <c r="I29" s="51"/>
      <c r="J29" s="51"/>
      <c r="K29" s="156"/>
      <c r="L29" s="325"/>
      <c r="M29" s="52"/>
      <c r="N29" s="52"/>
      <c r="O29" s="52"/>
      <c r="P29" s="52"/>
      <c r="Q29" s="52"/>
      <c r="R29" s="53"/>
      <c r="S29" s="53"/>
      <c r="T29" s="53"/>
      <c r="U29" s="53"/>
      <c r="V29" s="54"/>
    </row>
    <row r="30" spans="1:22" ht="16.5" thickBot="1">
      <c r="A30" s="55"/>
      <c r="B30" s="56" t="s">
        <v>239</v>
      </c>
      <c r="C30" s="56"/>
      <c r="D30" s="56"/>
      <c r="E30" s="56"/>
      <c r="F30" s="56"/>
      <c r="G30" s="56"/>
      <c r="H30" s="56"/>
      <c r="I30" s="56"/>
      <c r="J30" s="56"/>
      <c r="L30" s="326" t="s">
        <v>211</v>
      </c>
      <c r="M30" s="625">
        <f>M28+M20</f>
        <v>30251</v>
      </c>
      <c r="N30" s="625"/>
      <c r="O30" s="625"/>
      <c r="P30" s="625"/>
      <c r="Q30" s="625"/>
      <c r="R30" s="57"/>
      <c r="S30" s="57"/>
      <c r="T30" s="57"/>
      <c r="U30" s="57"/>
      <c r="V30" s="58"/>
    </row>
    <row r="31" spans="1:22" ht="16.5" thickBot="1">
      <c r="A31" s="25">
        <v>7</v>
      </c>
      <c r="B31" s="595" t="s">
        <v>240</v>
      </c>
      <c r="C31" s="595"/>
      <c r="D31" s="595"/>
      <c r="E31" s="595"/>
      <c r="F31" s="595"/>
      <c r="G31" s="595"/>
      <c r="H31" s="595"/>
      <c r="I31" s="595"/>
      <c r="J31" s="595"/>
      <c r="K31" s="595"/>
      <c r="L31" s="320"/>
      <c r="M31" s="625">
        <f>ROUND(M20*43%,0)</f>
        <v>7964</v>
      </c>
      <c r="N31" s="625"/>
      <c r="O31" s="625"/>
      <c r="P31" s="48"/>
      <c r="Q31" s="48"/>
      <c r="R31" s="28"/>
      <c r="S31" s="28"/>
      <c r="T31" s="28"/>
      <c r="U31" s="28"/>
      <c r="V31" s="36"/>
    </row>
    <row r="32" spans="1:22" ht="15.75">
      <c r="A32" s="22">
        <v>8</v>
      </c>
      <c r="B32" s="23" t="s">
        <v>732</v>
      </c>
      <c r="C32" s="23"/>
      <c r="D32" s="23"/>
      <c r="E32" s="23"/>
      <c r="F32" s="23"/>
      <c r="G32" s="23"/>
      <c r="H32" s="23"/>
      <c r="I32" s="23"/>
      <c r="J32" s="23"/>
      <c r="K32" s="24"/>
      <c r="L32" s="315"/>
      <c r="M32" s="628">
        <f>M30+M31</f>
        <v>38215</v>
      </c>
      <c r="N32" s="628"/>
      <c r="O32" s="628"/>
      <c r="P32" s="628"/>
      <c r="Q32" s="628"/>
      <c r="R32" s="20"/>
      <c r="S32" s="20"/>
      <c r="T32" s="20"/>
      <c r="U32" s="20"/>
      <c r="V32" s="21"/>
    </row>
    <row r="33" spans="1:22" ht="15.75">
      <c r="A33" s="30"/>
      <c r="B33" s="31"/>
      <c r="C33" s="31"/>
      <c r="D33" s="31"/>
      <c r="E33" s="31"/>
      <c r="F33" s="31"/>
      <c r="G33" s="31"/>
      <c r="H33" s="31"/>
      <c r="I33" s="31"/>
      <c r="J33" s="31"/>
      <c r="K33" s="32"/>
      <c r="L33" s="318"/>
      <c r="M33" s="49"/>
      <c r="N33" s="49"/>
      <c r="O33" s="49"/>
      <c r="P33" s="49"/>
      <c r="Q33" s="49"/>
      <c r="R33" s="33"/>
      <c r="S33" s="33"/>
      <c r="T33" s="33"/>
      <c r="U33" s="33"/>
      <c r="V33" s="34"/>
    </row>
    <row r="34" spans="1:22" ht="15.75" hidden="1">
      <c r="A34" s="59"/>
      <c r="B34" s="26"/>
      <c r="C34" s="26"/>
      <c r="D34" s="26"/>
      <c r="E34" s="26"/>
      <c r="F34" s="26"/>
      <c r="G34" s="26"/>
      <c r="H34" s="26"/>
      <c r="I34" s="26"/>
      <c r="J34" s="26"/>
      <c r="K34" s="27"/>
      <c r="L34" s="317"/>
      <c r="M34" s="60"/>
      <c r="N34" s="60"/>
      <c r="O34" s="60"/>
      <c r="P34" s="61"/>
      <c r="Q34" s="61"/>
      <c r="R34" s="61"/>
      <c r="S34" s="61"/>
      <c r="T34" s="61"/>
      <c r="U34" s="61"/>
      <c r="V34" s="61"/>
    </row>
    <row r="35" spans="1:22" ht="15" hidden="1">
      <c r="A35" s="13"/>
      <c r="B35" s="13"/>
      <c r="C35" s="13"/>
      <c r="D35" s="13"/>
      <c r="E35" s="13"/>
      <c r="F35" s="13"/>
      <c r="G35" s="13"/>
      <c r="H35" s="13"/>
      <c r="I35" s="13"/>
      <c r="J35" s="13"/>
      <c r="K35" s="13"/>
      <c r="L35" s="317"/>
      <c r="M35" s="13"/>
      <c r="N35" s="13"/>
      <c r="O35" s="13"/>
      <c r="P35" s="13"/>
      <c r="Q35" s="13"/>
      <c r="R35" s="13"/>
      <c r="S35" s="13"/>
      <c r="T35" s="13"/>
      <c r="U35" s="13"/>
      <c r="V35" s="13"/>
    </row>
    <row r="36" spans="1:22" ht="59.25" customHeight="1">
      <c r="A36" s="22">
        <v>9</v>
      </c>
      <c r="B36" s="564" t="s">
        <v>241</v>
      </c>
      <c r="C36" s="564"/>
      <c r="D36" s="564"/>
      <c r="E36" s="564"/>
      <c r="F36" s="564"/>
      <c r="G36" s="564"/>
      <c r="H36" s="564"/>
      <c r="I36" s="564"/>
      <c r="J36" s="564"/>
      <c r="K36" s="564"/>
      <c r="L36" s="319"/>
      <c r="M36" s="629" t="str">
        <f>Data!AB87</f>
        <v>28940-820-30580-880-33220-950- 36070-1030-39160-1110-42490- 1190-46060-1270-49870-1360- 53950-1460-58330-1560-63010- 1660-67990-1760-73270-1880-78910 (38)</v>
      </c>
      <c r="N36" s="629"/>
      <c r="O36" s="629"/>
      <c r="P36" s="629"/>
      <c r="Q36" s="629"/>
      <c r="R36" s="629"/>
      <c r="S36" s="629"/>
      <c r="T36" s="629"/>
      <c r="U36" s="629"/>
      <c r="V36" s="630"/>
    </row>
    <row r="37" spans="1:22" ht="48.75" customHeight="1" thickBot="1">
      <c r="A37" s="22">
        <v>10</v>
      </c>
      <c r="B37" s="564" t="s">
        <v>570</v>
      </c>
      <c r="C37" s="564"/>
      <c r="D37" s="564"/>
      <c r="E37" s="564"/>
      <c r="F37" s="564"/>
      <c r="G37" s="564"/>
      <c r="H37" s="564"/>
      <c r="I37" s="564"/>
      <c r="J37" s="564"/>
      <c r="K37" s="564"/>
      <c r="L37" s="315"/>
      <c r="M37" s="626">
        <f>VLOOKUP(LOOKUP(M32,Data!AY54:AY117),Data!AY54:AZ117,2,0)</f>
        <v>39160</v>
      </c>
      <c r="N37" s="626"/>
      <c r="O37" s="626"/>
      <c r="P37" s="626"/>
      <c r="Q37" s="626"/>
      <c r="R37" s="626"/>
      <c r="S37" s="626"/>
      <c r="T37" s="626"/>
      <c r="U37" s="626"/>
      <c r="V37" s="627"/>
    </row>
    <row r="38" spans="1:22" ht="31.5" customHeight="1">
      <c r="A38" s="62">
        <v>11</v>
      </c>
      <c r="B38" s="63" t="s">
        <v>242</v>
      </c>
      <c r="C38" s="63"/>
      <c r="D38" s="63"/>
      <c r="E38" s="63"/>
      <c r="F38" s="63"/>
      <c r="G38" s="63"/>
      <c r="H38" s="63"/>
      <c r="I38" s="63"/>
      <c r="J38" s="63"/>
      <c r="K38" s="157"/>
      <c r="L38" s="327"/>
      <c r="M38" s="596" t="s">
        <v>573</v>
      </c>
      <c r="N38" s="596"/>
      <c r="O38" s="596"/>
      <c r="P38" s="596"/>
      <c r="Q38" s="597"/>
      <c r="R38" s="598" t="s">
        <v>574</v>
      </c>
      <c r="S38" s="596"/>
      <c r="T38" s="596"/>
      <c r="U38" s="596"/>
      <c r="V38" s="597"/>
    </row>
    <row r="39" spans="1:22" ht="15.75">
      <c r="A39" s="17"/>
      <c r="B39" s="18" t="s">
        <v>243</v>
      </c>
      <c r="C39" s="18" t="s">
        <v>244</v>
      </c>
      <c r="D39" s="18"/>
      <c r="E39" s="18"/>
      <c r="F39" s="18"/>
      <c r="G39" s="18"/>
      <c r="H39" s="18"/>
      <c r="I39" s="18"/>
      <c r="J39" s="18"/>
      <c r="L39" s="322" t="s">
        <v>211</v>
      </c>
      <c r="M39" s="594">
        <f>Salary!O8</f>
        <v>18520</v>
      </c>
      <c r="N39" s="594"/>
      <c r="O39" s="594"/>
      <c r="P39" s="594"/>
      <c r="Q39" s="66"/>
      <c r="R39" s="593">
        <f>Salary!C8</f>
        <v>39160</v>
      </c>
      <c r="S39" s="594"/>
      <c r="T39" s="594"/>
      <c r="U39" s="594"/>
      <c r="V39" s="67"/>
    </row>
    <row r="40" spans="1:22" ht="15.75">
      <c r="A40" s="17"/>
      <c r="B40" s="18" t="s">
        <v>245</v>
      </c>
      <c r="C40" s="18" t="s">
        <v>246</v>
      </c>
      <c r="D40" s="18"/>
      <c r="E40" s="18"/>
      <c r="F40" s="18"/>
      <c r="G40" s="18"/>
      <c r="H40" s="18"/>
      <c r="I40" s="18"/>
      <c r="J40" s="18"/>
      <c r="L40" s="322" t="s">
        <v>211</v>
      </c>
      <c r="M40" s="594">
        <f>Data!Q10</f>
        <v>35</v>
      </c>
      <c r="N40" s="594"/>
      <c r="O40" s="594"/>
      <c r="P40" s="594"/>
      <c r="Q40" s="66"/>
      <c r="R40" s="601">
        <f>M40</f>
        <v>35</v>
      </c>
      <c r="S40" s="602"/>
      <c r="T40" s="602"/>
      <c r="U40" s="602"/>
      <c r="V40" s="67"/>
    </row>
    <row r="41" spans="1:22" ht="15.75">
      <c r="A41" s="22"/>
      <c r="B41" s="23" t="s">
        <v>247</v>
      </c>
      <c r="C41" s="23" t="s">
        <v>575</v>
      </c>
      <c r="D41" s="23"/>
      <c r="E41" s="23"/>
      <c r="F41" s="23"/>
      <c r="G41" s="23"/>
      <c r="H41" s="23"/>
      <c r="I41" s="23"/>
      <c r="J41" s="23"/>
      <c r="K41" s="24"/>
      <c r="L41" s="315"/>
      <c r="M41" s="20"/>
      <c r="N41" s="20"/>
      <c r="O41" s="20"/>
      <c r="P41" s="20"/>
      <c r="Q41" s="21"/>
      <c r="R41" s="19"/>
      <c r="S41" s="20"/>
      <c r="T41" s="20"/>
      <c r="U41" s="20"/>
      <c r="V41" s="70"/>
    </row>
    <row r="42" spans="1:22" ht="15.75">
      <c r="A42" s="17"/>
      <c r="B42" s="18" t="s">
        <v>248</v>
      </c>
      <c r="C42" s="18" t="s">
        <v>249</v>
      </c>
      <c r="D42" s="18"/>
      <c r="E42" s="18"/>
      <c r="F42" s="18"/>
      <c r="G42" s="18"/>
      <c r="H42" s="18"/>
      <c r="I42" s="18"/>
      <c r="J42" s="18"/>
      <c r="L42" s="322" t="s">
        <v>211</v>
      </c>
      <c r="M42" s="594">
        <f>Data!O10</f>
        <v>50</v>
      </c>
      <c r="N42" s="594"/>
      <c r="O42" s="594"/>
      <c r="P42" s="594"/>
      <c r="Q42" s="66"/>
      <c r="R42" s="593">
        <f>M42</f>
        <v>50</v>
      </c>
      <c r="S42" s="594"/>
      <c r="T42" s="594"/>
      <c r="U42" s="594"/>
      <c r="V42" s="67"/>
    </row>
    <row r="43" spans="1:22" ht="15.75">
      <c r="A43" s="25"/>
      <c r="B43" s="26" t="s">
        <v>250</v>
      </c>
      <c r="C43" s="26" t="s">
        <v>251</v>
      </c>
      <c r="D43" s="26"/>
      <c r="E43" s="26"/>
      <c r="F43" s="26"/>
      <c r="G43" s="26"/>
      <c r="H43" s="26"/>
      <c r="I43" s="26"/>
      <c r="J43" s="26"/>
      <c r="L43" s="317" t="s">
        <v>211</v>
      </c>
      <c r="M43" s="621">
        <v>0</v>
      </c>
      <c r="N43" s="621"/>
      <c r="O43" s="621"/>
      <c r="P43" s="621"/>
      <c r="Q43" s="36"/>
      <c r="R43" s="620">
        <v>0</v>
      </c>
      <c r="S43" s="621"/>
      <c r="T43" s="621"/>
      <c r="U43" s="621"/>
      <c r="V43" s="71"/>
    </row>
    <row r="44" spans="1:22" ht="15.75">
      <c r="A44" s="17"/>
      <c r="B44" s="18" t="s">
        <v>252</v>
      </c>
      <c r="C44" s="18" t="s">
        <v>253</v>
      </c>
      <c r="D44" s="18"/>
      <c r="E44" s="18"/>
      <c r="F44" s="18"/>
      <c r="G44" s="18"/>
      <c r="H44" s="18"/>
      <c r="I44" s="18"/>
      <c r="J44" s="18"/>
      <c r="L44" s="322" t="s">
        <v>211</v>
      </c>
      <c r="M44" s="594">
        <f>Salary!S8</f>
        <v>11731</v>
      </c>
      <c r="N44" s="594"/>
      <c r="O44" s="594"/>
      <c r="P44" s="594"/>
      <c r="Q44" s="66"/>
      <c r="R44" s="593">
        <f>Salary!G8</f>
        <v>0</v>
      </c>
      <c r="S44" s="594"/>
      <c r="T44" s="594"/>
      <c r="U44" s="594"/>
      <c r="V44" s="67"/>
    </row>
    <row r="45" spans="1:22" ht="15.75">
      <c r="A45" s="17"/>
      <c r="B45" s="18" t="s">
        <v>254</v>
      </c>
      <c r="C45" s="18" t="s">
        <v>255</v>
      </c>
      <c r="D45" s="18"/>
      <c r="E45" s="18"/>
      <c r="F45" s="18"/>
      <c r="G45" s="18"/>
      <c r="H45" s="18"/>
      <c r="I45" s="18"/>
      <c r="J45" s="18"/>
      <c r="L45" s="322" t="s">
        <v>211</v>
      </c>
      <c r="M45" s="594">
        <f>Salary!U8</f>
        <v>3704</v>
      </c>
      <c r="N45" s="594"/>
      <c r="O45" s="594"/>
      <c r="P45" s="594"/>
      <c r="Q45" s="66"/>
      <c r="R45" s="593">
        <f>Salary!H8</f>
        <v>7832</v>
      </c>
      <c r="S45" s="594"/>
      <c r="T45" s="594"/>
      <c r="U45" s="594"/>
      <c r="V45" s="67"/>
    </row>
    <row r="46" spans="1:22" ht="15.75">
      <c r="A46" s="17"/>
      <c r="B46" s="18" t="s">
        <v>256</v>
      </c>
      <c r="C46" s="18" t="s">
        <v>257</v>
      </c>
      <c r="D46" s="18"/>
      <c r="E46" s="18"/>
      <c r="F46" s="18"/>
      <c r="G46" s="18"/>
      <c r="H46" s="18"/>
      <c r="I46" s="18"/>
      <c r="J46" s="18"/>
      <c r="L46" s="322" t="s">
        <v>211</v>
      </c>
      <c r="M46" s="592">
        <f>Salary!W8</f>
        <v>0</v>
      </c>
      <c r="N46" s="592"/>
      <c r="O46" s="592"/>
      <c r="P46" s="592"/>
      <c r="Q46" s="66"/>
      <c r="R46" s="593">
        <v>0</v>
      </c>
      <c r="S46" s="594"/>
      <c r="T46" s="594"/>
      <c r="U46" s="594"/>
      <c r="V46" s="67"/>
    </row>
    <row r="47" spans="1:22" ht="15.75">
      <c r="A47" s="17"/>
      <c r="B47" s="18" t="s">
        <v>258</v>
      </c>
      <c r="C47" s="18" t="s">
        <v>259</v>
      </c>
      <c r="D47" s="18"/>
      <c r="E47" s="18"/>
      <c r="F47" s="18"/>
      <c r="G47" s="18"/>
      <c r="H47" s="18"/>
      <c r="I47" s="18"/>
      <c r="J47" s="18"/>
      <c r="L47" s="322" t="s">
        <v>211</v>
      </c>
      <c r="M47" s="594"/>
      <c r="N47" s="594"/>
      <c r="O47" s="594"/>
      <c r="P47" s="594"/>
      <c r="Q47" s="66"/>
      <c r="R47" s="593"/>
      <c r="S47" s="594"/>
      <c r="T47" s="594"/>
      <c r="U47" s="594"/>
      <c r="V47" s="67"/>
    </row>
    <row r="48" spans="1:22" ht="16.5" thickBot="1">
      <c r="A48" s="17"/>
      <c r="B48" s="18" t="s">
        <v>260</v>
      </c>
      <c r="C48" s="18" t="s">
        <v>261</v>
      </c>
      <c r="D48" s="18"/>
      <c r="E48" s="18"/>
      <c r="F48" s="18"/>
      <c r="G48" s="18"/>
      <c r="H48" s="18"/>
      <c r="I48" s="18"/>
      <c r="J48" s="18"/>
      <c r="L48" s="322" t="s">
        <v>211</v>
      </c>
      <c r="M48" s="594">
        <f>Salary!T8</f>
        <v>0</v>
      </c>
      <c r="N48" s="594"/>
      <c r="O48" s="594"/>
      <c r="P48" s="594"/>
      <c r="Q48" s="66"/>
      <c r="R48" s="593">
        <v>0</v>
      </c>
      <c r="S48" s="594"/>
      <c r="T48" s="594"/>
      <c r="U48" s="594"/>
      <c r="V48" s="67"/>
    </row>
    <row r="49" spans="1:22" ht="16.5" thickBot="1">
      <c r="A49" s="72"/>
      <c r="B49" s="73"/>
      <c r="C49" s="74" t="s">
        <v>123</v>
      </c>
      <c r="D49" s="73"/>
      <c r="E49" s="73"/>
      <c r="F49" s="73"/>
      <c r="G49" s="73"/>
      <c r="H49" s="73"/>
      <c r="I49" s="73"/>
      <c r="J49" s="73"/>
      <c r="L49" s="326" t="s">
        <v>211</v>
      </c>
      <c r="M49" s="631">
        <f>SUM(M39:P48)</f>
        <v>34040</v>
      </c>
      <c r="N49" s="631"/>
      <c r="O49" s="631"/>
      <c r="P49" s="631"/>
      <c r="Q49" s="75"/>
      <c r="R49" s="632">
        <v>16808</v>
      </c>
      <c r="S49" s="631"/>
      <c r="T49" s="631"/>
      <c r="U49" s="631"/>
      <c r="V49" s="76"/>
    </row>
    <row r="50" spans="1:22" ht="16.5" thickBot="1">
      <c r="A50" s="72"/>
      <c r="B50" s="73"/>
      <c r="C50" s="74" t="s">
        <v>262</v>
      </c>
      <c r="D50" s="73"/>
      <c r="E50" s="73"/>
      <c r="F50" s="73"/>
      <c r="G50" s="73"/>
      <c r="H50" s="73"/>
      <c r="I50" s="73"/>
      <c r="J50" s="73"/>
      <c r="K50" s="77" t="s">
        <v>211</v>
      </c>
      <c r="L50" s="326"/>
      <c r="M50" s="631">
        <v>4030</v>
      </c>
      <c r="N50" s="631"/>
      <c r="O50" s="631"/>
      <c r="P50" s="631"/>
      <c r="Q50" s="631"/>
      <c r="R50" s="631"/>
      <c r="S50" s="631"/>
      <c r="T50" s="631"/>
      <c r="U50" s="631"/>
      <c r="V50" s="76"/>
    </row>
    <row r="51" spans="1:22" ht="28.5" customHeight="1">
      <c r="A51" s="62" t="s">
        <v>733</v>
      </c>
      <c r="B51" s="595" t="s">
        <v>572</v>
      </c>
      <c r="C51" s="595"/>
      <c r="D51" s="595"/>
      <c r="E51" s="595"/>
      <c r="F51" s="595"/>
      <c r="G51" s="595"/>
      <c r="H51" s="595"/>
      <c r="I51" s="595"/>
      <c r="J51" s="595"/>
      <c r="K51" s="595"/>
      <c r="L51" s="317"/>
      <c r="M51" s="28"/>
      <c r="N51" s="28"/>
      <c r="O51" s="28"/>
      <c r="P51" s="28"/>
      <c r="Q51" s="28"/>
      <c r="R51" s="28"/>
      <c r="S51" s="28"/>
      <c r="T51" s="28"/>
      <c r="U51" s="28"/>
      <c r="V51" s="71"/>
    </row>
    <row r="52" spans="1:22" ht="24" customHeight="1">
      <c r="A52" s="30" t="s">
        <v>734</v>
      </c>
      <c r="B52" s="564" t="s">
        <v>576</v>
      </c>
      <c r="C52" s="564"/>
      <c r="D52" s="564"/>
      <c r="E52" s="564"/>
      <c r="F52" s="564"/>
      <c r="G52" s="564"/>
      <c r="H52" s="564"/>
      <c r="I52" s="564"/>
      <c r="J52" s="564"/>
      <c r="K52" s="564"/>
      <c r="L52" s="315" t="s">
        <v>211</v>
      </c>
      <c r="M52" s="636">
        <f>R39</f>
        <v>39160</v>
      </c>
      <c r="N52" s="636"/>
      <c r="O52" s="636"/>
      <c r="P52" s="636"/>
      <c r="Q52" s="20"/>
      <c r="R52" s="20"/>
      <c r="S52" s="20"/>
      <c r="T52" s="20"/>
      <c r="U52" s="20"/>
      <c r="V52" s="70"/>
    </row>
    <row r="53" spans="1:22" ht="73.5" customHeight="1">
      <c r="A53" s="22" t="s">
        <v>735</v>
      </c>
      <c r="B53" s="564" t="s">
        <v>728</v>
      </c>
      <c r="C53" s="564"/>
      <c r="D53" s="564"/>
      <c r="E53" s="564"/>
      <c r="F53" s="564"/>
      <c r="G53" s="564"/>
      <c r="H53" s="564"/>
      <c r="I53" s="564"/>
      <c r="J53" s="564"/>
      <c r="K53" s="564"/>
      <c r="L53" s="315"/>
      <c r="M53" s="599" t="s">
        <v>105</v>
      </c>
      <c r="N53" s="599"/>
      <c r="O53" s="599"/>
      <c r="P53" s="599"/>
      <c r="Q53" s="599"/>
      <c r="R53" s="599"/>
      <c r="S53" s="599"/>
      <c r="T53" s="599"/>
      <c r="U53" s="599"/>
      <c r="V53" s="600"/>
    </row>
    <row r="54" spans="1:22" ht="15.75">
      <c r="A54" s="22">
        <v>13</v>
      </c>
      <c r="B54" s="23" t="s">
        <v>263</v>
      </c>
      <c r="C54" s="23"/>
      <c r="D54" s="23"/>
      <c r="E54" s="23"/>
      <c r="F54" s="23"/>
      <c r="G54" s="23"/>
      <c r="H54" s="23"/>
      <c r="I54" s="23"/>
      <c r="J54" s="23"/>
      <c r="K54" s="24"/>
      <c r="L54" s="315"/>
      <c r="M54" s="637" t="str">
        <f>Data!AD123&amp;"-"&amp;Data!AF123</f>
        <v>1-Nov-2013</v>
      </c>
      <c r="N54" s="637"/>
      <c r="O54" s="637"/>
      <c r="P54" s="637"/>
      <c r="Q54" s="638">
        <f>VLOOKUP(Data!AI123,Data!$AU$54:$AY$116,5,0)</f>
        <v>40270</v>
      </c>
      <c r="R54" s="638"/>
      <c r="S54" s="638"/>
      <c r="T54" s="634" t="str">
        <f>Data!AC123</f>
        <v>Increment</v>
      </c>
      <c r="U54" s="634"/>
      <c r="V54" s="635"/>
    </row>
    <row r="55" spans="1:22" ht="15.75">
      <c r="A55" s="25"/>
      <c r="B55" s="26"/>
      <c r="C55" s="26"/>
      <c r="D55" s="26"/>
      <c r="E55" s="26"/>
      <c r="F55" s="26"/>
      <c r="G55" s="26"/>
      <c r="H55" s="26"/>
      <c r="I55" s="26"/>
      <c r="J55" s="26"/>
      <c r="K55" s="27"/>
      <c r="L55" s="317"/>
      <c r="M55" s="637" t="str">
        <f>Data!AD124&amp;"-"&amp;Data!AF124</f>
        <v>1-Nov-2014</v>
      </c>
      <c r="N55" s="637"/>
      <c r="O55" s="637"/>
      <c r="P55" s="637"/>
      <c r="Q55" s="633">
        <f>VLOOKUP(Data!AI124,Data!$AU$54:$AY$116,5,0)</f>
        <v>41380</v>
      </c>
      <c r="R55" s="633"/>
      <c r="S55" s="633"/>
      <c r="T55" s="634" t="str">
        <f>Data!AC124</f>
        <v>Increment</v>
      </c>
      <c r="U55" s="634"/>
      <c r="V55" s="635"/>
    </row>
    <row r="56" spans="1:22" ht="15.75">
      <c r="A56" s="25"/>
      <c r="B56" s="26"/>
      <c r="C56" s="26"/>
      <c r="D56" s="26"/>
      <c r="E56" s="26"/>
      <c r="F56" s="26"/>
      <c r="G56" s="26"/>
      <c r="H56" s="26"/>
      <c r="I56" s="26"/>
      <c r="J56" s="26"/>
      <c r="K56" s="27"/>
      <c r="L56" s="317"/>
      <c r="M56" s="637" t="str">
        <f>IF(Q56="","",Data!AD125&amp;"-"&amp;Data!AF125)</f>
        <v>30-Jan-2015</v>
      </c>
      <c r="N56" s="637"/>
      <c r="O56" s="637"/>
      <c r="P56" s="637"/>
      <c r="Q56" s="633">
        <f>VLOOKUP(Data!AI125,Data!$AU$54:$AY$116,5,0)</f>
        <v>41380</v>
      </c>
      <c r="R56" s="633"/>
      <c r="S56" s="633"/>
      <c r="T56" s="634">
        <f>IF(Data!AB125=1,"",Data!AC125)</f>
      </c>
      <c r="U56" s="634"/>
      <c r="V56" s="635"/>
    </row>
    <row r="57" spans="1:22" ht="15.75">
      <c r="A57" s="25"/>
      <c r="B57" s="26"/>
      <c r="C57" s="26"/>
      <c r="D57" s="26"/>
      <c r="E57" s="26"/>
      <c r="F57" s="26"/>
      <c r="G57" s="26"/>
      <c r="H57" s="26"/>
      <c r="I57" s="26"/>
      <c r="J57" s="26"/>
      <c r="K57" s="27"/>
      <c r="L57" s="317"/>
      <c r="M57" s="637" t="str">
        <f>IF(Q57="","",Data!AD126&amp;"-"&amp;Data!AF126)</f>
        <v>14-Feb-2015</v>
      </c>
      <c r="N57" s="637"/>
      <c r="O57" s="637"/>
      <c r="P57" s="637"/>
      <c r="Q57" s="633">
        <f>VLOOKUP(Data!AI126,Data!$AU$54:$AY$116,5,0)</f>
        <v>41380</v>
      </c>
      <c r="R57" s="633"/>
      <c r="S57" s="633"/>
      <c r="T57" s="634">
        <f>IF(Data!AB126=1,"",Data!AC126)</f>
      </c>
      <c r="U57" s="634"/>
      <c r="V57" s="635"/>
    </row>
    <row r="58" spans="1:22" ht="15">
      <c r="A58" s="30"/>
      <c r="B58" s="31"/>
      <c r="C58" s="31"/>
      <c r="D58" s="31"/>
      <c r="E58" s="31"/>
      <c r="F58" s="31"/>
      <c r="G58" s="31"/>
      <c r="H58" s="31"/>
      <c r="I58" s="31"/>
      <c r="J58" s="31"/>
      <c r="K58" s="32"/>
      <c r="L58" s="318"/>
      <c r="M58" s="641" t="s">
        <v>265</v>
      </c>
      <c r="N58" s="641"/>
      <c r="O58" s="641"/>
      <c r="P58" s="641"/>
      <c r="Q58" s="641"/>
      <c r="R58" s="641"/>
      <c r="S58" s="642"/>
      <c r="T58" s="639" t="str">
        <f>procgs!Q35</f>
        <v>1-Nov-2015</v>
      </c>
      <c r="U58" s="639"/>
      <c r="V58" s="640"/>
    </row>
    <row r="59" spans="1:22" ht="15">
      <c r="A59" s="30">
        <v>14</v>
      </c>
      <c r="B59" s="31" t="s">
        <v>266</v>
      </c>
      <c r="C59" s="31"/>
      <c r="D59" s="31"/>
      <c r="E59" s="31"/>
      <c r="F59" s="31"/>
      <c r="G59" s="31"/>
      <c r="H59" s="31"/>
      <c r="I59" s="31"/>
      <c r="J59" s="31"/>
      <c r="K59" s="32"/>
      <c r="L59" s="318"/>
      <c r="M59" s="18"/>
      <c r="N59" s="18"/>
      <c r="O59" s="18"/>
      <c r="P59" s="18"/>
      <c r="Q59" s="18"/>
      <c r="R59" s="18"/>
      <c r="S59" s="18"/>
      <c r="T59" s="18"/>
      <c r="U59" s="18"/>
      <c r="V59" s="81"/>
    </row>
    <row r="60" spans="1:22" ht="15.75">
      <c r="A60" s="12"/>
      <c r="B60" s="13"/>
      <c r="C60" s="13"/>
      <c r="D60" s="13"/>
      <c r="E60" s="13"/>
      <c r="F60" s="13"/>
      <c r="G60" s="13"/>
      <c r="H60" s="13"/>
      <c r="I60" s="13"/>
      <c r="J60" s="13"/>
      <c r="K60" s="14"/>
      <c r="L60" s="316"/>
      <c r="M60" s="82"/>
      <c r="N60" s="82"/>
      <c r="O60" s="82"/>
      <c r="P60" s="82"/>
      <c r="Q60" s="82"/>
      <c r="R60" s="82"/>
      <c r="S60" s="82"/>
      <c r="T60" s="82"/>
      <c r="U60" s="82"/>
      <c r="V60" s="12"/>
    </row>
    <row r="61" spans="1:22" ht="15.75">
      <c r="A61" s="12"/>
      <c r="B61" s="13"/>
      <c r="C61" s="13"/>
      <c r="D61" s="13"/>
      <c r="E61" s="13"/>
      <c r="F61" s="13"/>
      <c r="G61" s="13"/>
      <c r="H61" s="13"/>
      <c r="I61" s="13"/>
      <c r="J61" s="13"/>
      <c r="K61" s="14"/>
      <c r="L61" s="316"/>
      <c r="M61" s="82"/>
      <c r="N61" s="82"/>
      <c r="O61" s="82"/>
      <c r="P61" s="82"/>
      <c r="Q61" s="82"/>
      <c r="R61" s="82"/>
      <c r="S61" s="82"/>
      <c r="T61" s="82"/>
      <c r="U61" s="82"/>
      <c r="V61" s="12"/>
    </row>
    <row r="62" spans="1:22" ht="15">
      <c r="A62" s="12" t="s">
        <v>267</v>
      </c>
      <c r="B62" s="13"/>
      <c r="C62" s="580" t="str">
        <f>Data!G7</f>
        <v>M.D Mangalam</v>
      </c>
      <c r="D62" s="580"/>
      <c r="E62" s="580"/>
      <c r="F62" s="580"/>
      <c r="G62" s="580"/>
      <c r="H62" s="580"/>
      <c r="I62" s="580"/>
      <c r="J62" s="580"/>
      <c r="K62" s="14"/>
      <c r="L62" s="316"/>
      <c r="M62" s="15"/>
      <c r="N62" s="15"/>
      <c r="O62" s="647" t="s">
        <v>577</v>
      </c>
      <c r="P62" s="647"/>
      <c r="Q62" s="647"/>
      <c r="R62" s="647"/>
      <c r="S62" s="647"/>
      <c r="T62" s="647"/>
      <c r="U62" s="647"/>
      <c r="V62" s="647"/>
    </row>
    <row r="63" spans="1:22" ht="15">
      <c r="A63" s="12" t="s">
        <v>268</v>
      </c>
      <c r="B63" s="13"/>
      <c r="C63" s="643"/>
      <c r="D63" s="643"/>
      <c r="E63" s="643"/>
      <c r="F63" s="643"/>
      <c r="G63" s="643"/>
      <c r="H63" s="13"/>
      <c r="I63" s="13"/>
      <c r="J63" s="13"/>
      <c r="K63" s="14"/>
      <c r="L63" s="316"/>
      <c r="M63" s="15"/>
      <c r="N63" s="15"/>
      <c r="O63" s="647"/>
      <c r="P63" s="647"/>
      <c r="Q63" s="647"/>
      <c r="R63" s="647"/>
      <c r="S63" s="647"/>
      <c r="T63" s="647"/>
      <c r="U63" s="647"/>
      <c r="V63" s="647"/>
    </row>
    <row r="64" spans="1:22" ht="15">
      <c r="A64" s="12"/>
      <c r="B64" s="13"/>
      <c r="C64" s="13"/>
      <c r="D64" s="13"/>
      <c r="E64" s="13"/>
      <c r="F64" s="13"/>
      <c r="G64" s="13"/>
      <c r="H64" s="13"/>
      <c r="I64" s="13"/>
      <c r="J64" s="13"/>
      <c r="K64" s="14"/>
      <c r="L64" s="316"/>
      <c r="M64" s="15"/>
      <c r="N64" s="15"/>
      <c r="O64" s="15"/>
      <c r="P64" s="15"/>
      <c r="Q64" s="15"/>
      <c r="R64" s="15"/>
      <c r="S64" s="12"/>
      <c r="T64" s="12"/>
      <c r="U64" s="12"/>
      <c r="V64" s="12"/>
    </row>
    <row r="65" spans="1:22" ht="18.75">
      <c r="A65" s="83" t="s">
        <v>269</v>
      </c>
      <c r="B65" s="13" t="s">
        <v>270</v>
      </c>
      <c r="C65" s="13"/>
      <c r="D65" s="13"/>
      <c r="E65" s="13"/>
      <c r="F65" s="13"/>
      <c r="G65" s="13"/>
      <c r="H65" s="13"/>
      <c r="I65" s="13"/>
      <c r="J65" s="13"/>
      <c r="K65" s="14"/>
      <c r="L65" s="316"/>
      <c r="M65" s="15"/>
      <c r="N65" s="15"/>
      <c r="O65" s="15"/>
      <c r="P65" s="15"/>
      <c r="Q65" s="15"/>
      <c r="R65" s="15"/>
      <c r="S65" s="12"/>
      <c r="T65" s="12"/>
      <c r="U65" s="12"/>
      <c r="V65" s="12"/>
    </row>
    <row r="66" spans="1:22" ht="15">
      <c r="A66" s="12"/>
      <c r="B66" s="13" t="s">
        <v>271</v>
      </c>
      <c r="C66" s="13"/>
      <c r="D66" s="13"/>
      <c r="E66" s="13"/>
      <c r="F66" s="13"/>
      <c r="G66" s="13"/>
      <c r="H66" s="13"/>
      <c r="I66" s="13"/>
      <c r="J66" s="13"/>
      <c r="K66" s="14"/>
      <c r="L66" s="316"/>
      <c r="M66" s="15"/>
      <c r="N66" s="15"/>
      <c r="O66" s="15"/>
      <c r="P66" s="15"/>
      <c r="Q66" s="15"/>
      <c r="R66" s="15"/>
      <c r="S66" s="12"/>
      <c r="T66" s="12"/>
      <c r="U66" s="12"/>
      <c r="V66" s="12"/>
    </row>
    <row r="67" spans="1:22" ht="15">
      <c r="A67" s="12"/>
      <c r="B67" s="13"/>
      <c r="C67" s="13"/>
      <c r="D67" s="13"/>
      <c r="E67" s="13"/>
      <c r="F67" s="13"/>
      <c r="G67" s="13"/>
      <c r="H67" s="13"/>
      <c r="I67" s="13"/>
      <c r="J67" s="13"/>
      <c r="K67" s="14"/>
      <c r="L67" s="316"/>
      <c r="M67" s="15"/>
      <c r="N67" s="15"/>
      <c r="O67" s="15"/>
      <c r="P67" s="15"/>
      <c r="Q67" s="15"/>
      <c r="R67" s="15"/>
      <c r="S67" s="12"/>
      <c r="T67" s="12"/>
      <c r="U67" s="12"/>
      <c r="V67" s="12"/>
    </row>
    <row r="68" spans="1:22" ht="15">
      <c r="A68" s="13"/>
      <c r="B68" s="13"/>
      <c r="C68" s="13"/>
      <c r="D68" s="13"/>
      <c r="E68" s="13"/>
      <c r="F68" s="13"/>
      <c r="G68" s="13"/>
      <c r="H68" s="13"/>
      <c r="I68" s="13"/>
      <c r="J68" s="13"/>
      <c r="K68" s="13"/>
      <c r="L68" s="316"/>
      <c r="M68" s="13"/>
      <c r="N68" s="13"/>
      <c r="O68" s="13"/>
      <c r="P68" s="13"/>
      <c r="Q68" s="13"/>
      <c r="R68" s="13"/>
      <c r="S68" s="13"/>
      <c r="T68" s="13"/>
      <c r="U68" s="13"/>
      <c r="V68" s="13"/>
    </row>
    <row r="69" spans="1:22" ht="23.25">
      <c r="A69" s="644" t="s">
        <v>272</v>
      </c>
      <c r="B69" s="644"/>
      <c r="C69" s="644"/>
      <c r="D69" s="644"/>
      <c r="E69" s="644"/>
      <c r="F69" s="644"/>
      <c r="G69" s="644"/>
      <c r="H69" s="644"/>
      <c r="I69" s="644"/>
      <c r="J69" s="644"/>
      <c r="K69" s="644"/>
      <c r="L69" s="644"/>
      <c r="M69" s="644"/>
      <c r="N69" s="644"/>
      <c r="O69" s="644"/>
      <c r="P69" s="644"/>
      <c r="Q69" s="644"/>
      <c r="R69" s="644"/>
      <c r="S69" s="644"/>
      <c r="T69" s="644"/>
      <c r="U69" s="644"/>
      <c r="V69" s="644"/>
    </row>
    <row r="70" spans="1:22" ht="15">
      <c r="A70" s="582" t="str">
        <f>A4</f>
        <v>Circular Memo. No.68/1/HRM.IV/2014 FINANCE (HRM.IV) DEPARTMENT Dt: 04-04-2015. </v>
      </c>
      <c r="B70" s="582"/>
      <c r="C70" s="582"/>
      <c r="D70" s="582"/>
      <c r="E70" s="582"/>
      <c r="F70" s="582"/>
      <c r="G70" s="582"/>
      <c r="H70" s="582"/>
      <c r="I70" s="582"/>
      <c r="J70" s="582"/>
      <c r="K70" s="582"/>
      <c r="L70" s="582"/>
      <c r="M70" s="582"/>
      <c r="N70" s="582"/>
      <c r="O70" s="582"/>
      <c r="P70" s="582"/>
      <c r="Q70" s="582"/>
      <c r="R70" s="582"/>
      <c r="S70" s="582"/>
      <c r="T70" s="582"/>
      <c r="U70" s="582"/>
      <c r="V70" s="582"/>
    </row>
    <row r="71" spans="1:22" ht="15">
      <c r="A71" s="605"/>
      <c r="B71" s="605"/>
      <c r="C71" s="605"/>
      <c r="D71" s="605"/>
      <c r="E71" s="605"/>
      <c r="F71" s="605"/>
      <c r="G71" s="605"/>
      <c r="H71" s="605"/>
      <c r="I71" s="605"/>
      <c r="J71" s="605"/>
      <c r="K71" s="605"/>
      <c r="L71" s="605"/>
      <c r="M71" s="605"/>
      <c r="N71" s="605"/>
      <c r="O71" s="605"/>
      <c r="P71" s="605"/>
      <c r="Q71" s="605"/>
      <c r="R71" s="605"/>
      <c r="S71" s="605"/>
      <c r="T71" s="605"/>
      <c r="U71" s="605"/>
      <c r="V71" s="605"/>
    </row>
    <row r="72" spans="1:22" ht="15">
      <c r="A72" s="17">
        <v>1</v>
      </c>
      <c r="B72" s="18" t="s">
        <v>273</v>
      </c>
      <c r="C72" s="18"/>
      <c r="D72" s="18"/>
      <c r="E72" s="18"/>
      <c r="F72" s="18"/>
      <c r="G72" s="18"/>
      <c r="H72" s="18"/>
      <c r="I72" s="18"/>
      <c r="J72" s="18"/>
      <c r="K72" s="84"/>
      <c r="L72" s="328"/>
      <c r="M72" s="42" t="s">
        <v>211</v>
      </c>
      <c r="N72" s="645" t="str">
        <f>Data!U53&amp;", "&amp;Data!L7&amp;", "&amp;Data!P7</f>
        <v>Z P High School, M.D Mangalam, G D Nellore, Karimnagar</v>
      </c>
      <c r="O72" s="645"/>
      <c r="P72" s="645"/>
      <c r="Q72" s="645"/>
      <c r="R72" s="645"/>
      <c r="S72" s="645"/>
      <c r="T72" s="645"/>
      <c r="U72" s="645"/>
      <c r="V72" s="646"/>
    </row>
    <row r="73" spans="1:22" ht="15">
      <c r="A73" s="17">
        <v>2</v>
      </c>
      <c r="B73" s="18" t="s">
        <v>274</v>
      </c>
      <c r="C73" s="18"/>
      <c r="D73" s="18"/>
      <c r="E73" s="18"/>
      <c r="F73" s="18"/>
      <c r="G73" s="18"/>
      <c r="H73" s="18"/>
      <c r="I73" s="18"/>
      <c r="J73" s="18"/>
      <c r="K73" s="84"/>
      <c r="L73" s="328"/>
      <c r="M73" s="42" t="s">
        <v>211</v>
      </c>
      <c r="N73" s="658" t="str">
        <f>Data!V67</f>
        <v> Headmaster </v>
      </c>
      <c r="O73" s="645"/>
      <c r="P73" s="645"/>
      <c r="Q73" s="645"/>
      <c r="R73" s="645"/>
      <c r="S73" s="645"/>
      <c r="T73" s="645"/>
      <c r="U73" s="645"/>
      <c r="V73" s="646"/>
    </row>
    <row r="74" spans="1:22" ht="15">
      <c r="A74" s="17">
        <v>3</v>
      </c>
      <c r="B74" s="18" t="s">
        <v>275</v>
      </c>
      <c r="C74" s="18"/>
      <c r="D74" s="18"/>
      <c r="E74" s="18"/>
      <c r="F74" s="18"/>
      <c r="G74" s="18"/>
      <c r="H74" s="18"/>
      <c r="I74" s="18"/>
      <c r="J74" s="18"/>
      <c r="K74" s="84"/>
      <c r="L74" s="328"/>
      <c r="M74" s="42" t="s">
        <v>211</v>
      </c>
      <c r="N74" s="658" t="str">
        <f>Data!G6&amp;", "&amp;IF(Data!AG57&lt;&gt;15,Data!AH57,Data!AB53)</f>
        <v>Sri S Nithin, SA(Hin)</v>
      </c>
      <c r="O74" s="645"/>
      <c r="P74" s="645"/>
      <c r="Q74" s="645"/>
      <c r="R74" s="645"/>
      <c r="S74" s="645"/>
      <c r="T74" s="645"/>
      <c r="U74" s="645"/>
      <c r="V74" s="646"/>
    </row>
    <row r="75" spans="1:22" ht="15.75">
      <c r="A75" s="17">
        <v>4</v>
      </c>
      <c r="B75" s="18" t="s">
        <v>276</v>
      </c>
      <c r="C75" s="18"/>
      <c r="D75" s="18"/>
      <c r="E75" s="18"/>
      <c r="F75" s="18"/>
      <c r="G75" s="18"/>
      <c r="H75" s="18"/>
      <c r="I75" s="18"/>
      <c r="J75" s="18"/>
      <c r="K75" s="84"/>
      <c r="L75" s="328"/>
      <c r="M75" s="42"/>
      <c r="N75" s="69"/>
      <c r="O75" s="68"/>
      <c r="P75" s="68"/>
      <c r="Q75" s="68"/>
      <c r="R75" s="68"/>
      <c r="S75" s="68"/>
      <c r="T75" s="68"/>
      <c r="U75" s="68"/>
      <c r="V75" s="66"/>
    </row>
    <row r="76" spans="1:22" ht="15.75">
      <c r="A76" s="22"/>
      <c r="B76" s="23" t="s">
        <v>277</v>
      </c>
      <c r="C76" s="23"/>
      <c r="D76" s="23"/>
      <c r="E76" s="23"/>
      <c r="F76" s="23"/>
      <c r="G76" s="23"/>
      <c r="H76" s="23"/>
      <c r="I76" s="23"/>
      <c r="J76" s="23"/>
      <c r="K76" s="24"/>
      <c r="L76" s="329"/>
      <c r="M76" s="85"/>
      <c r="N76" s="20"/>
      <c r="O76" s="20"/>
      <c r="P76" s="20"/>
      <c r="Q76" s="20"/>
      <c r="R76" s="20"/>
      <c r="S76" s="20"/>
      <c r="T76" s="20"/>
      <c r="U76" s="20"/>
      <c r="V76" s="21"/>
    </row>
    <row r="77" spans="1:22" ht="15.75">
      <c r="A77" s="30"/>
      <c r="B77" s="31" t="s">
        <v>243</v>
      </c>
      <c r="C77" s="31" t="s">
        <v>278</v>
      </c>
      <c r="D77" s="31"/>
      <c r="E77" s="31"/>
      <c r="F77" s="31"/>
      <c r="G77" s="31"/>
      <c r="H77" s="31"/>
      <c r="I77" s="31"/>
      <c r="J77" s="31"/>
      <c r="K77" s="32"/>
      <c r="L77" s="330"/>
      <c r="M77" s="65" t="s">
        <v>211</v>
      </c>
      <c r="N77" s="64" t="s">
        <v>279</v>
      </c>
      <c r="O77" s="78"/>
      <c r="P77" s="659">
        <f>Salary!AL23</f>
        <v>122892</v>
      </c>
      <c r="Q77" s="659"/>
      <c r="R77" s="659"/>
      <c r="S77" s="659"/>
      <c r="T77" s="659"/>
      <c r="U77" s="78"/>
      <c r="V77" s="79"/>
    </row>
    <row r="78" spans="1:22" ht="22.5" customHeight="1">
      <c r="A78" s="22"/>
      <c r="B78" s="23" t="s">
        <v>245</v>
      </c>
      <c r="C78" s="564" t="s">
        <v>736</v>
      </c>
      <c r="D78" s="564"/>
      <c r="E78" s="564"/>
      <c r="F78" s="564"/>
      <c r="G78" s="564"/>
      <c r="H78" s="564"/>
      <c r="I78" s="564"/>
      <c r="J78" s="564"/>
      <c r="K78" s="564"/>
      <c r="L78" s="331"/>
      <c r="M78" s="85" t="s">
        <v>211</v>
      </c>
      <c r="N78" s="40" t="s">
        <v>279</v>
      </c>
      <c r="O78" s="86"/>
      <c r="P78" s="648">
        <f>Salary!AL37</f>
        <v>83164</v>
      </c>
      <c r="Q78" s="648"/>
      <c r="R78" s="648"/>
      <c r="S78" s="648"/>
      <c r="T78" s="648"/>
      <c r="U78" s="37"/>
      <c r="V78" s="38"/>
    </row>
    <row r="79" spans="1:22" ht="15.75">
      <c r="A79" s="22"/>
      <c r="B79" s="24"/>
      <c r="C79" s="23" t="s">
        <v>737</v>
      </c>
      <c r="D79" s="23"/>
      <c r="E79" s="23"/>
      <c r="F79" s="23"/>
      <c r="G79" s="23"/>
      <c r="H79" s="23"/>
      <c r="I79" s="23"/>
      <c r="J79" s="23"/>
      <c r="K79" s="24"/>
      <c r="L79" s="329"/>
      <c r="M79" s="85" t="s">
        <v>211</v>
      </c>
      <c r="N79" s="87" t="s">
        <v>279</v>
      </c>
      <c r="O79" s="61"/>
      <c r="P79" s="648">
        <v>0</v>
      </c>
      <c r="Q79" s="648"/>
      <c r="R79" s="648"/>
      <c r="S79" s="648"/>
      <c r="T79" s="648"/>
      <c r="U79" s="61"/>
      <c r="V79" s="88"/>
    </row>
    <row r="80" spans="1:22" ht="15.75">
      <c r="A80" s="17"/>
      <c r="B80" s="18" t="s">
        <v>247</v>
      </c>
      <c r="C80" s="18" t="s">
        <v>700</v>
      </c>
      <c r="D80" s="18"/>
      <c r="E80" s="18"/>
      <c r="F80" s="18"/>
      <c r="G80" s="18"/>
      <c r="H80" s="18"/>
      <c r="I80" s="18"/>
      <c r="J80" s="18"/>
      <c r="K80" s="84"/>
      <c r="L80" s="328"/>
      <c r="M80" s="42" t="s">
        <v>211</v>
      </c>
      <c r="N80" s="41" t="s">
        <v>279</v>
      </c>
      <c r="O80" s="37"/>
      <c r="P80" s="648">
        <f>Salary!AL47</f>
        <v>16316</v>
      </c>
      <c r="Q80" s="648"/>
      <c r="R80" s="648"/>
      <c r="S80" s="648"/>
      <c r="T80" s="648"/>
      <c r="U80" s="37"/>
      <c r="V80" s="38"/>
    </row>
    <row r="81" spans="1:22" ht="15">
      <c r="A81" s="12"/>
      <c r="B81" s="13"/>
      <c r="C81" s="13"/>
      <c r="D81" s="13"/>
      <c r="E81" s="13"/>
      <c r="F81" s="13"/>
      <c r="G81" s="13"/>
      <c r="H81" s="13"/>
      <c r="I81" s="13"/>
      <c r="J81" s="13"/>
      <c r="K81" s="14"/>
      <c r="L81" s="316"/>
      <c r="M81" s="15"/>
      <c r="N81" s="15"/>
      <c r="O81" s="15"/>
      <c r="P81" s="15"/>
      <c r="Q81" s="15"/>
      <c r="R81" s="15"/>
      <c r="S81" s="12"/>
      <c r="T81" s="12"/>
      <c r="U81" s="12"/>
      <c r="V81" s="12"/>
    </row>
    <row r="82" spans="1:22" ht="15">
      <c r="A82" s="12"/>
      <c r="B82" s="13"/>
      <c r="C82" s="13"/>
      <c r="D82" s="13"/>
      <c r="E82" s="13"/>
      <c r="F82" s="13"/>
      <c r="G82" s="13"/>
      <c r="H82" s="13"/>
      <c r="I82" s="13"/>
      <c r="J82" s="13"/>
      <c r="K82" s="14"/>
      <c r="L82" s="316"/>
      <c r="M82" s="15"/>
      <c r="N82" s="15"/>
      <c r="O82" s="15"/>
      <c r="P82" s="15"/>
      <c r="Q82" s="15"/>
      <c r="R82" s="15"/>
      <c r="S82" s="12"/>
      <c r="T82" s="12"/>
      <c r="U82" s="12"/>
      <c r="V82" s="12"/>
    </row>
    <row r="83" spans="1:22" ht="15">
      <c r="A83" s="12"/>
      <c r="B83" s="13"/>
      <c r="C83" s="13"/>
      <c r="D83" s="13"/>
      <c r="E83" s="13"/>
      <c r="F83" s="13"/>
      <c r="G83" s="13"/>
      <c r="H83" s="13"/>
      <c r="I83" s="13"/>
      <c r="J83" s="13"/>
      <c r="K83" s="14"/>
      <c r="L83" s="316"/>
      <c r="M83" s="15"/>
      <c r="N83" s="15"/>
      <c r="O83" s="15"/>
      <c r="P83" s="15"/>
      <c r="Q83" s="15"/>
      <c r="R83" s="15"/>
      <c r="S83" s="12"/>
      <c r="T83" s="12"/>
      <c r="U83" s="12"/>
      <c r="V83" s="12"/>
    </row>
    <row r="84" spans="1:22" ht="15">
      <c r="A84" s="12" t="s">
        <v>280</v>
      </c>
      <c r="B84" s="13"/>
      <c r="C84" s="13"/>
      <c r="D84" s="89"/>
      <c r="E84" s="89"/>
      <c r="F84" s="89"/>
      <c r="G84" s="89"/>
      <c r="H84" s="89"/>
      <c r="I84" s="89"/>
      <c r="J84" s="89"/>
      <c r="K84" s="14"/>
      <c r="L84" s="316"/>
      <c r="M84" s="15"/>
      <c r="N84" s="15"/>
      <c r="O84" s="15"/>
      <c r="P84" s="15"/>
      <c r="Q84" s="15"/>
      <c r="R84" s="15"/>
      <c r="S84" s="12"/>
      <c r="T84" s="12"/>
      <c r="U84" s="12"/>
      <c r="V84" s="12"/>
    </row>
    <row r="85" spans="1:22" ht="15">
      <c r="A85" s="12" t="s">
        <v>281</v>
      </c>
      <c r="B85" s="13"/>
      <c r="C85" s="13"/>
      <c r="D85" s="13"/>
      <c r="E85" s="13"/>
      <c r="F85" s="13"/>
      <c r="G85" s="13"/>
      <c r="H85" s="13"/>
      <c r="I85" s="13"/>
      <c r="J85" s="13"/>
      <c r="K85" s="14"/>
      <c r="L85" s="316"/>
      <c r="M85" s="15"/>
      <c r="N85" s="15"/>
      <c r="O85" s="15"/>
      <c r="P85" s="15"/>
      <c r="Q85" s="15"/>
      <c r="R85" s="15"/>
      <c r="S85" s="12"/>
      <c r="T85" s="12"/>
      <c r="U85" s="12"/>
      <c r="V85" s="12"/>
    </row>
    <row r="86" spans="1:22" ht="15">
      <c r="A86" s="12" t="s">
        <v>282</v>
      </c>
      <c r="B86" s="13"/>
      <c r="C86" s="13"/>
      <c r="D86" s="13"/>
      <c r="E86" s="13"/>
      <c r="F86" s="13"/>
      <c r="G86" s="13"/>
      <c r="H86" s="13"/>
      <c r="I86" s="13"/>
      <c r="J86" s="13"/>
      <c r="K86" s="14"/>
      <c r="L86" s="316"/>
      <c r="M86" s="15"/>
      <c r="N86" s="15"/>
      <c r="O86" s="15"/>
      <c r="P86" s="15"/>
      <c r="Q86" s="15"/>
      <c r="R86" s="15"/>
      <c r="S86" s="12"/>
      <c r="T86" s="12"/>
      <c r="U86" s="12"/>
      <c r="V86" s="12"/>
    </row>
  </sheetData>
  <sheetProtection password="DE3D" sheet="1"/>
  <protectedRanges>
    <protectedRange sqref="M1:V51 L30 K31:L31 L39:L40 K41:L41 L42:L49 A32:L38 A39:J51 K50:L51 A52:V53 U58:V86 U54:U57 A1:J31 K1:L19 L20:L21 K22:L29 A54:T86" name="Range1_1"/>
  </protectedRanges>
  <mergeCells count="97">
    <mergeCell ref="P79:T79"/>
    <mergeCell ref="B27:K27"/>
    <mergeCell ref="M27:Q27"/>
    <mergeCell ref="B15:K16"/>
    <mergeCell ref="M15:V16"/>
    <mergeCell ref="P80:T80"/>
    <mergeCell ref="N73:V73"/>
    <mergeCell ref="N74:V74"/>
    <mergeCell ref="P77:T77"/>
    <mergeCell ref="C78:K78"/>
    <mergeCell ref="P78:T78"/>
    <mergeCell ref="M18:V18"/>
    <mergeCell ref="M19:V19"/>
    <mergeCell ref="M20:O20"/>
    <mergeCell ref="M21:V21"/>
    <mergeCell ref="M23:O23"/>
    <mergeCell ref="M28:O28"/>
    <mergeCell ref="M26:O26"/>
    <mergeCell ref="Q56:S56"/>
    <mergeCell ref="Q57:S57"/>
    <mergeCell ref="C62:J62"/>
    <mergeCell ref="C63:G63"/>
    <mergeCell ref="A69:V69"/>
    <mergeCell ref="A70:V70"/>
    <mergeCell ref="A71:V71"/>
    <mergeCell ref="N72:V72"/>
    <mergeCell ref="O62:V63"/>
    <mergeCell ref="M56:P56"/>
    <mergeCell ref="M57:P57"/>
    <mergeCell ref="T58:V58"/>
    <mergeCell ref="M58:S58"/>
    <mergeCell ref="T56:V56"/>
    <mergeCell ref="T57:V57"/>
    <mergeCell ref="M49:P49"/>
    <mergeCell ref="R49:U49"/>
    <mergeCell ref="M50:U50"/>
    <mergeCell ref="Q55:S55"/>
    <mergeCell ref="T55:V55"/>
    <mergeCell ref="M52:P52"/>
    <mergeCell ref="M54:P54"/>
    <mergeCell ref="M55:P55"/>
    <mergeCell ref="Q54:S54"/>
    <mergeCell ref="T54:V54"/>
    <mergeCell ref="M45:P45"/>
    <mergeCell ref="R45:U45"/>
    <mergeCell ref="M30:Q30"/>
    <mergeCell ref="B31:K31"/>
    <mergeCell ref="M32:Q32"/>
    <mergeCell ref="B36:K36"/>
    <mergeCell ref="M36:V36"/>
    <mergeCell ref="M42:P42"/>
    <mergeCell ref="R42:U42"/>
    <mergeCell ref="M43:P43"/>
    <mergeCell ref="R43:U43"/>
    <mergeCell ref="M44:P44"/>
    <mergeCell ref="R44:U44"/>
    <mergeCell ref="B25:K25"/>
    <mergeCell ref="M25:Q25"/>
    <mergeCell ref="B26:K26"/>
    <mergeCell ref="B28:K28"/>
    <mergeCell ref="M31:O31"/>
    <mergeCell ref="B37:K37"/>
    <mergeCell ref="M37:V37"/>
    <mergeCell ref="M13:O13"/>
    <mergeCell ref="P13:S13"/>
    <mergeCell ref="M14:V14"/>
    <mergeCell ref="B22:K22"/>
    <mergeCell ref="M22:O22"/>
    <mergeCell ref="B19:K19"/>
    <mergeCell ref="B18:K18"/>
    <mergeCell ref="M17:V17"/>
    <mergeCell ref="A1:V1"/>
    <mergeCell ref="A3:V3"/>
    <mergeCell ref="A4:V4"/>
    <mergeCell ref="M9:V9"/>
    <mergeCell ref="M11:V11"/>
    <mergeCell ref="M10:T10"/>
    <mergeCell ref="C6:V6"/>
    <mergeCell ref="B10:K13"/>
    <mergeCell ref="M12:P12"/>
    <mergeCell ref="Q12:U12"/>
    <mergeCell ref="B51:K51"/>
    <mergeCell ref="M38:Q38"/>
    <mergeCell ref="R38:V38"/>
    <mergeCell ref="B53:K53"/>
    <mergeCell ref="M53:V53"/>
    <mergeCell ref="B52:K52"/>
    <mergeCell ref="M39:P39"/>
    <mergeCell ref="R39:U39"/>
    <mergeCell ref="M40:P40"/>
    <mergeCell ref="R40:U40"/>
    <mergeCell ref="M46:P46"/>
    <mergeCell ref="R46:U46"/>
    <mergeCell ref="M47:P47"/>
    <mergeCell ref="R47:U47"/>
    <mergeCell ref="M48:P48"/>
    <mergeCell ref="R48:U48"/>
  </mergeCells>
  <printOptions/>
  <pageMargins left="0.7" right="0.7" top="0.75" bottom="0.75" header="0.3" footer="0.3"/>
  <pageSetup fitToHeight="0"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codeName="Sheet5"/>
  <dimension ref="A1:E34"/>
  <sheetViews>
    <sheetView showGridLines="0" showRowColHeaders="0" zoomScalePageLayoutView="0" workbookViewId="0" topLeftCell="A1">
      <selection activeCell="C19" sqref="C19"/>
    </sheetView>
  </sheetViews>
  <sheetFormatPr defaultColWidth="9.140625" defaultRowHeight="15"/>
  <cols>
    <col min="1" max="1" width="4.140625" style="0" customWidth="1"/>
    <col min="2" max="2" width="26.28125" style="0" customWidth="1"/>
    <col min="3" max="3" width="18.28125" style="0" customWidth="1"/>
    <col min="4" max="4" width="19.28125" style="0" customWidth="1"/>
    <col min="5" max="5" width="18.00390625" style="0" customWidth="1"/>
  </cols>
  <sheetData>
    <row r="1" spans="1:5" ht="15.75">
      <c r="A1" s="543" t="s">
        <v>283</v>
      </c>
      <c r="B1" s="543"/>
      <c r="C1" s="543"/>
      <c r="D1" s="543"/>
      <c r="E1" s="543"/>
    </row>
    <row r="2" spans="1:5" ht="15">
      <c r="A2" s="582" t="s">
        <v>726</v>
      </c>
      <c r="B2" s="582"/>
      <c r="C2" s="582"/>
      <c r="D2" s="582"/>
      <c r="E2" s="582"/>
    </row>
    <row r="3" spans="1:5" ht="9.75" customHeight="1">
      <c r="A3" s="13"/>
      <c r="B3" s="13"/>
      <c r="C3" s="13"/>
      <c r="D3" s="13"/>
      <c r="E3" s="13"/>
    </row>
    <row r="4" spans="1:5" ht="15.75">
      <c r="A4" s="10" t="s">
        <v>284</v>
      </c>
      <c r="B4" s="13"/>
      <c r="C4" s="13"/>
      <c r="D4" s="605"/>
      <c r="E4" s="605"/>
    </row>
    <row r="5" spans="1:5" ht="15">
      <c r="A5" s="13"/>
      <c r="B5" s="13"/>
      <c r="C5" s="13"/>
      <c r="D5" s="13"/>
      <c r="E5" s="13"/>
    </row>
    <row r="6" spans="1:5" ht="45">
      <c r="A6" s="94" t="s">
        <v>285</v>
      </c>
      <c r="B6" s="94" t="s">
        <v>286</v>
      </c>
      <c r="C6" s="94" t="s">
        <v>287</v>
      </c>
      <c r="D6" s="94" t="s">
        <v>288</v>
      </c>
      <c r="E6" s="94" t="s">
        <v>289</v>
      </c>
    </row>
    <row r="7" spans="1:5" ht="12" customHeight="1">
      <c r="A7" s="90">
        <v>1</v>
      </c>
      <c r="B7" s="90">
        <v>2</v>
      </c>
      <c r="C7" s="90">
        <v>3</v>
      </c>
      <c r="D7" s="90">
        <v>4</v>
      </c>
      <c r="E7" s="90">
        <v>5</v>
      </c>
    </row>
    <row r="8" spans="1:5" ht="90" customHeight="1">
      <c r="A8" s="91">
        <v>1</v>
      </c>
      <c r="B8" s="92"/>
      <c r="C8" s="92"/>
      <c r="D8" s="92"/>
      <c r="E8" s="92"/>
    </row>
    <row r="9" spans="1:5" ht="15">
      <c r="A9" s="13"/>
      <c r="B9" s="13"/>
      <c r="C9" s="13"/>
      <c r="D9" s="13"/>
      <c r="E9" s="13"/>
    </row>
    <row r="10" spans="1:5" ht="15">
      <c r="A10" s="13"/>
      <c r="B10" s="13"/>
      <c r="C10" s="13"/>
      <c r="D10" s="13"/>
      <c r="E10" s="13"/>
    </row>
    <row r="11" spans="1:5" ht="15">
      <c r="A11" s="13"/>
      <c r="B11" s="13"/>
      <c r="C11" s="13"/>
      <c r="D11" s="13"/>
      <c r="E11" s="13"/>
    </row>
    <row r="12" spans="1:5" ht="15">
      <c r="A12" s="13"/>
      <c r="B12" s="13"/>
      <c r="C12" s="13"/>
      <c r="D12" s="13"/>
      <c r="E12" s="13"/>
    </row>
    <row r="13" spans="1:5" ht="15">
      <c r="A13" s="13"/>
      <c r="B13" s="16" t="s">
        <v>290</v>
      </c>
      <c r="C13" s="13"/>
      <c r="D13" s="13" t="s">
        <v>291</v>
      </c>
      <c r="E13" s="13"/>
    </row>
    <row r="14" spans="1:5" ht="15">
      <c r="A14" s="13"/>
      <c r="B14" s="16" t="s">
        <v>292</v>
      </c>
      <c r="C14" s="13"/>
      <c r="D14" s="13" t="s">
        <v>293</v>
      </c>
      <c r="E14" s="13"/>
    </row>
    <row r="15" spans="1:5" ht="15">
      <c r="A15" s="13"/>
      <c r="B15" s="13"/>
      <c r="C15" s="13"/>
      <c r="D15" s="13" t="s">
        <v>294</v>
      </c>
      <c r="E15" s="13"/>
    </row>
    <row r="16" spans="1:5" ht="15">
      <c r="A16" s="13"/>
      <c r="B16" s="13"/>
      <c r="C16" s="13"/>
      <c r="D16" s="13" t="s">
        <v>295</v>
      </c>
      <c r="E16" s="13"/>
    </row>
    <row r="17" spans="1:5" ht="15">
      <c r="A17" s="13"/>
      <c r="B17" s="13"/>
      <c r="C17" s="13"/>
      <c r="D17" s="13"/>
      <c r="E17" s="13"/>
    </row>
    <row r="18" spans="1:5" ht="15">
      <c r="A18" s="13"/>
      <c r="B18" s="13"/>
      <c r="C18" s="13"/>
      <c r="D18" s="13"/>
      <c r="E18" s="13"/>
    </row>
    <row r="19" spans="1:5" ht="15">
      <c r="A19" s="13"/>
      <c r="B19" s="13"/>
      <c r="C19" s="13"/>
      <c r="D19" s="13"/>
      <c r="E19" s="13"/>
    </row>
    <row r="20" spans="1:5" ht="15">
      <c r="A20" s="13"/>
      <c r="B20" s="13"/>
      <c r="C20" s="13"/>
      <c r="D20" s="13"/>
      <c r="E20" s="13"/>
    </row>
    <row r="21" spans="1:5" ht="15">
      <c r="A21" s="13"/>
      <c r="B21" s="13"/>
      <c r="C21" s="13"/>
      <c r="D21" s="13"/>
      <c r="E21" s="13"/>
    </row>
    <row r="22" spans="1:5" ht="15">
      <c r="A22" s="13"/>
      <c r="B22" s="13"/>
      <c r="C22" s="13"/>
      <c r="D22" s="13"/>
      <c r="E22" s="13"/>
    </row>
    <row r="23" spans="1:5" ht="15.75">
      <c r="A23" s="543" t="s">
        <v>296</v>
      </c>
      <c r="B23" s="543"/>
      <c r="C23" s="543"/>
      <c r="D23" s="543"/>
      <c r="E23" s="543"/>
    </row>
    <row r="24" spans="1:5" ht="15">
      <c r="A24" s="582" t="str">
        <f>A2</f>
        <v>(Circular Memo. No.68/1/HRM.IV/2014 Dt: 04-04-2015)</v>
      </c>
      <c r="B24" s="582"/>
      <c r="C24" s="582"/>
      <c r="D24" s="582"/>
      <c r="E24" s="582"/>
    </row>
    <row r="25" spans="1:5" ht="15">
      <c r="A25" s="13"/>
      <c r="B25" s="13"/>
      <c r="C25" s="13"/>
      <c r="D25" s="13"/>
      <c r="E25" s="13"/>
    </row>
    <row r="26" spans="1:5" ht="15.75">
      <c r="A26" s="10" t="s">
        <v>297</v>
      </c>
      <c r="B26" s="13"/>
      <c r="C26" s="13"/>
      <c r="D26" s="605"/>
      <c r="E26" s="605"/>
    </row>
    <row r="27" spans="1:5" ht="15">
      <c r="A27" s="13"/>
      <c r="B27" s="13"/>
      <c r="C27" s="13"/>
      <c r="D27" s="13"/>
      <c r="E27" s="13"/>
    </row>
    <row r="28" spans="1:5" ht="75">
      <c r="A28" s="94" t="s">
        <v>285</v>
      </c>
      <c r="B28" s="94" t="s">
        <v>298</v>
      </c>
      <c r="C28" s="94" t="s">
        <v>299</v>
      </c>
      <c r="D28" s="94" t="s">
        <v>300</v>
      </c>
      <c r="E28" s="94" t="s">
        <v>301</v>
      </c>
    </row>
    <row r="29" spans="1:5" ht="24.75" customHeight="1">
      <c r="A29" s="90">
        <v>1</v>
      </c>
      <c r="B29" s="90">
        <v>2</v>
      </c>
      <c r="C29" s="90">
        <v>3</v>
      </c>
      <c r="D29" s="90">
        <v>4</v>
      </c>
      <c r="E29" s="90">
        <v>5</v>
      </c>
    </row>
    <row r="30" spans="1:5" ht="57" customHeight="1">
      <c r="A30" s="93"/>
      <c r="B30" s="93"/>
      <c r="C30" s="93"/>
      <c r="D30" s="93"/>
      <c r="E30" s="93"/>
    </row>
    <row r="31" spans="1:5" ht="15">
      <c r="A31" s="13"/>
      <c r="B31" s="13"/>
      <c r="C31" s="13"/>
      <c r="D31" s="13"/>
      <c r="E31" s="13"/>
    </row>
    <row r="32" spans="1:5" ht="15">
      <c r="A32" s="13"/>
      <c r="B32" s="13"/>
      <c r="C32" s="13"/>
      <c r="D32" s="13"/>
      <c r="E32" s="13"/>
    </row>
    <row r="33" spans="1:5" ht="15">
      <c r="A33" s="13"/>
      <c r="B33" s="13"/>
      <c r="C33" s="13"/>
      <c r="D33" s="13"/>
      <c r="E33" s="13"/>
    </row>
    <row r="34" spans="1:5" ht="15">
      <c r="A34" s="13"/>
      <c r="B34" s="13"/>
      <c r="C34" s="13"/>
      <c r="D34" s="13" t="s">
        <v>302</v>
      </c>
      <c r="E34" s="13"/>
    </row>
  </sheetData>
  <sheetProtection password="DE3D" sheet="1"/>
  <mergeCells count="6">
    <mergeCell ref="D26:E26"/>
    <mergeCell ref="A1:E1"/>
    <mergeCell ref="A2:E2"/>
    <mergeCell ref="D4:E4"/>
    <mergeCell ref="A23:E23"/>
    <mergeCell ref="A24:E2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Z112"/>
  <sheetViews>
    <sheetView showGridLines="0" showRowColHeaders="0" zoomScalePageLayoutView="0" workbookViewId="0" topLeftCell="A1">
      <selection activeCell="V32" sqref="V32"/>
    </sheetView>
  </sheetViews>
  <sheetFormatPr defaultColWidth="9.140625" defaultRowHeight="15"/>
  <cols>
    <col min="1" max="1" width="4.00390625" style="286" customWidth="1"/>
    <col min="2" max="2" width="10.421875" style="286" customWidth="1"/>
    <col min="3" max="3" width="3.7109375" style="286" customWidth="1"/>
    <col min="4" max="4" width="3.57421875" style="286" customWidth="1"/>
    <col min="5" max="5" width="4.00390625" style="286" customWidth="1"/>
    <col min="6" max="6" width="3.28125" style="286" customWidth="1"/>
    <col min="7" max="7" width="3.57421875" style="286" customWidth="1"/>
    <col min="8" max="8" width="3.28125" style="286" customWidth="1"/>
    <col min="9" max="10" width="3.7109375" style="286" customWidth="1"/>
    <col min="11" max="11" width="3.28125" style="286" customWidth="1"/>
    <col min="12" max="12" width="5.28125" style="286" customWidth="1"/>
    <col min="13" max="13" width="1.421875" style="286" customWidth="1"/>
    <col min="14" max="14" width="3.7109375" style="286" customWidth="1"/>
    <col min="15" max="15" width="4.8515625" style="286" customWidth="1"/>
    <col min="16" max="16" width="23.140625" style="286" customWidth="1"/>
    <col min="17" max="17" width="3.8515625" style="286" customWidth="1"/>
    <col min="18" max="18" width="4.8515625" style="286" customWidth="1"/>
    <col min="19" max="19" width="13.7109375" style="286" customWidth="1"/>
    <col min="20" max="24" width="9.140625" style="286" customWidth="1"/>
    <col min="25" max="26" width="0" style="286" hidden="1" customWidth="1"/>
    <col min="27" max="16384" width="9.140625" style="286" customWidth="1"/>
  </cols>
  <sheetData>
    <row r="1" spans="1:19" ht="15">
      <c r="A1" s="670" t="str">
        <f>"PRC-2015 Arrears of "&amp;appendix!N74&amp;", "&amp;appendix!N72</f>
        <v>PRC-2015 Arrears of Sri S Nithin, SA(Hin), Z P High School, M.D Mangalam, G D Nellore, Karimnagar</v>
      </c>
      <c r="B1" s="671"/>
      <c r="C1" s="671"/>
      <c r="D1" s="671"/>
      <c r="E1" s="671"/>
      <c r="F1" s="671"/>
      <c r="G1" s="671"/>
      <c r="H1" s="671"/>
      <c r="I1" s="671"/>
      <c r="J1" s="671"/>
      <c r="K1" s="671"/>
      <c r="L1" s="671"/>
      <c r="M1" s="671"/>
      <c r="N1" s="671"/>
      <c r="O1" s="671"/>
      <c r="P1" s="671"/>
      <c r="Q1" s="671"/>
      <c r="R1" s="671"/>
      <c r="S1" s="672"/>
    </row>
    <row r="2" spans="1:19" ht="20.25" customHeight="1">
      <c r="A2" s="681" t="str">
        <f>"Under Rs : ("&amp;words!D5&amp;"/-)"&amp;words!O5</f>
        <v>Under Rs : (87386/-)Eighty seven Thousand Three Hundred Eighty six Rupees</v>
      </c>
      <c r="B2" s="673" t="s">
        <v>596</v>
      </c>
      <c r="C2" s="673"/>
      <c r="D2" s="673"/>
      <c r="E2" s="673"/>
      <c r="F2" s="673"/>
      <c r="G2" s="673"/>
      <c r="H2" s="673"/>
      <c r="I2" s="673"/>
      <c r="J2" s="673"/>
      <c r="K2" s="673"/>
      <c r="L2" s="673"/>
      <c r="M2" s="673"/>
      <c r="N2" s="673"/>
      <c r="O2" s="673"/>
      <c r="P2" s="673"/>
      <c r="Q2" s="673"/>
      <c r="R2" s="673"/>
      <c r="S2" s="674"/>
    </row>
    <row r="3" spans="1:19" ht="18.75" thickBot="1">
      <c r="A3" s="681"/>
      <c r="B3" s="675" t="s">
        <v>597</v>
      </c>
      <c r="C3" s="675"/>
      <c r="D3" s="675"/>
      <c r="E3" s="675"/>
      <c r="F3" s="675"/>
      <c r="G3" s="675"/>
      <c r="H3" s="675"/>
      <c r="I3" s="675"/>
      <c r="J3" s="675"/>
      <c r="K3" s="675"/>
      <c r="L3" s="675"/>
      <c r="M3" s="675"/>
      <c r="N3" s="675"/>
      <c r="O3" s="675"/>
      <c r="P3" s="675"/>
      <c r="Q3" s="675"/>
      <c r="R3" s="675"/>
      <c r="S3" s="676"/>
    </row>
    <row r="4" spans="1:19" ht="15.75">
      <c r="A4" s="681"/>
      <c r="B4" s="364" t="s">
        <v>303</v>
      </c>
      <c r="C4" s="365"/>
      <c r="D4" s="365"/>
      <c r="E4" s="365"/>
      <c r="F4" s="366"/>
      <c r="G4" s="367"/>
      <c r="H4" s="367"/>
      <c r="I4" s="368"/>
      <c r="J4" s="369"/>
      <c r="K4" s="370">
        <f ca="1">MONTH(TODAY())</f>
        <v>5</v>
      </c>
      <c r="L4" s="677">
        <f ca="1">YEAR(TODAY())</f>
        <v>2015</v>
      </c>
      <c r="M4" s="678"/>
      <c r="N4" s="371"/>
      <c r="O4" s="372"/>
      <c r="P4" s="373"/>
      <c r="Q4" s="374" t="s">
        <v>304</v>
      </c>
      <c r="R4" s="374"/>
      <c r="S4" s="375"/>
    </row>
    <row r="5" spans="1:19" ht="15.75">
      <c r="A5" s="681"/>
      <c r="B5" s="364" t="s">
        <v>305</v>
      </c>
      <c r="C5" s="365"/>
      <c r="D5" s="365"/>
      <c r="E5" s="365"/>
      <c r="F5" s="662" t="str">
        <f>LEFT(Data!F21,4)</f>
        <v>1101</v>
      </c>
      <c r="G5" s="663"/>
      <c r="H5" s="663"/>
      <c r="I5" s="664"/>
      <c r="J5" s="372"/>
      <c r="K5" s="372"/>
      <c r="L5" s="372"/>
      <c r="M5" s="372"/>
      <c r="N5" s="372"/>
      <c r="O5" s="372"/>
      <c r="P5" s="376" t="s">
        <v>306</v>
      </c>
      <c r="Q5" s="679" t="s">
        <v>307</v>
      </c>
      <c r="R5" s="679"/>
      <c r="S5" s="680"/>
    </row>
    <row r="6" spans="1:19" ht="8.25" customHeight="1" thickBot="1">
      <c r="A6" s="681"/>
      <c r="B6" s="372"/>
      <c r="C6" s="372"/>
      <c r="D6" s="372"/>
      <c r="E6" s="372"/>
      <c r="F6" s="378"/>
      <c r="G6" s="378"/>
      <c r="H6" s="378"/>
      <c r="I6" s="378"/>
      <c r="J6" s="372"/>
      <c r="K6" s="372"/>
      <c r="L6" s="372"/>
      <c r="M6" s="372"/>
      <c r="N6" s="372"/>
      <c r="O6" s="372"/>
      <c r="P6" s="379"/>
      <c r="Q6" s="380"/>
      <c r="R6" s="380"/>
      <c r="S6" s="381"/>
    </row>
    <row r="7" spans="1:19" ht="15.75">
      <c r="A7" s="681"/>
      <c r="B7" s="660" t="s">
        <v>308</v>
      </c>
      <c r="C7" s="661"/>
      <c r="D7" s="665" t="str">
        <f>Data!F21</f>
        <v>1101-0308-109</v>
      </c>
      <c r="E7" s="666"/>
      <c r="F7" s="666"/>
      <c r="G7" s="666"/>
      <c r="H7" s="666"/>
      <c r="I7" s="667"/>
      <c r="J7" s="372"/>
      <c r="K7" s="372"/>
      <c r="L7" s="372"/>
      <c r="M7" s="372"/>
      <c r="N7" s="372"/>
      <c r="O7" s="372"/>
      <c r="P7" s="668" t="str">
        <f>"District  : "&amp;Data!P7</f>
        <v>District  : Karimnagar</v>
      </c>
      <c r="Q7" s="668"/>
      <c r="R7" s="668"/>
      <c r="S7" s="669"/>
    </row>
    <row r="8" spans="1:19" ht="15">
      <c r="A8" s="681"/>
      <c r="B8" s="702" t="s">
        <v>600</v>
      </c>
      <c r="C8" s="703"/>
      <c r="D8" s="682" t="str">
        <f>Data!V67</f>
        <v> Headmaster </v>
      </c>
      <c r="E8" s="683"/>
      <c r="F8" s="683"/>
      <c r="G8" s="683"/>
      <c r="H8" s="683"/>
      <c r="I8" s="684"/>
      <c r="J8" s="382"/>
      <c r="K8" s="382"/>
      <c r="L8" s="382"/>
      <c r="M8" s="383"/>
      <c r="N8" s="383"/>
      <c r="O8" s="688" t="s">
        <v>309</v>
      </c>
      <c r="P8" s="689"/>
      <c r="Q8" s="688" t="str">
        <f>Data!Y55</f>
        <v>Z P High School, M.D Mangalam</v>
      </c>
      <c r="R8" s="692"/>
      <c r="S8" s="689"/>
    </row>
    <row r="9" spans="1:26" ht="15">
      <c r="A9" s="681"/>
      <c r="B9" s="704"/>
      <c r="C9" s="705"/>
      <c r="D9" s="685"/>
      <c r="E9" s="686"/>
      <c r="F9" s="686"/>
      <c r="G9" s="686"/>
      <c r="H9" s="686"/>
      <c r="I9" s="687"/>
      <c r="J9" s="382"/>
      <c r="K9" s="382"/>
      <c r="L9" s="382"/>
      <c r="M9" s="383"/>
      <c r="N9" s="383"/>
      <c r="O9" s="690"/>
      <c r="P9" s="691"/>
      <c r="Q9" s="690"/>
      <c r="R9" s="693"/>
      <c r="S9" s="691"/>
      <c r="Y9" s="286">
        <f>Data!U54</f>
        <v>1</v>
      </c>
      <c r="Z9" s="286" t="str">
        <f>Data!V54</f>
        <v>ZPHS</v>
      </c>
    </row>
    <row r="10" spans="1:19" ht="15.75">
      <c r="A10" s="681"/>
      <c r="B10" s="706" t="s">
        <v>310</v>
      </c>
      <c r="C10" s="719"/>
      <c r="D10" s="696" t="str">
        <f>Data!K21</f>
        <v>07084</v>
      </c>
      <c r="E10" s="697"/>
      <c r="F10" s="697"/>
      <c r="G10" s="697"/>
      <c r="H10" s="697"/>
      <c r="I10" s="698"/>
      <c r="J10" s="372"/>
      <c r="K10" s="372"/>
      <c r="L10" s="372"/>
      <c r="M10" s="372"/>
      <c r="N10" s="372"/>
      <c r="O10" s="706" t="s">
        <v>311</v>
      </c>
      <c r="P10" s="707"/>
      <c r="Q10" s="710" t="str">
        <f>Data!O21</f>
        <v>SBI,Chittoor</v>
      </c>
      <c r="R10" s="711"/>
      <c r="S10" s="712"/>
    </row>
    <row r="11" spans="1:19" ht="15.75">
      <c r="A11" s="681"/>
      <c r="B11" s="708"/>
      <c r="C11" s="720"/>
      <c r="D11" s="699"/>
      <c r="E11" s="700"/>
      <c r="F11" s="700"/>
      <c r="G11" s="700"/>
      <c r="H11" s="700"/>
      <c r="I11" s="701"/>
      <c r="J11" s="372"/>
      <c r="K11" s="372"/>
      <c r="L11" s="372"/>
      <c r="M11" s="372"/>
      <c r="N11" s="372"/>
      <c r="O11" s="708"/>
      <c r="P11" s="709"/>
      <c r="Q11" s="713"/>
      <c r="R11" s="714"/>
      <c r="S11" s="715"/>
    </row>
    <row r="12" spans="1:19" ht="15.75">
      <c r="A12" s="681"/>
      <c r="B12" s="384" t="s">
        <v>312</v>
      </c>
      <c r="C12" s="384"/>
      <c r="D12" s="384"/>
      <c r="E12" s="384"/>
      <c r="F12" s="384"/>
      <c r="G12" s="384"/>
      <c r="H12" s="384"/>
      <c r="I12" s="384"/>
      <c r="J12" s="384"/>
      <c r="K12" s="384"/>
      <c r="L12" s="384"/>
      <c r="M12" s="384"/>
      <c r="N12" s="384"/>
      <c r="O12" s="384"/>
      <c r="P12" s="384" t="s">
        <v>313</v>
      </c>
      <c r="Q12" s="384"/>
      <c r="R12" s="384"/>
      <c r="S12" s="385"/>
    </row>
    <row r="13" spans="1:19" ht="15.75">
      <c r="A13" s="681"/>
      <c r="B13" s="386" t="s">
        <v>314</v>
      </c>
      <c r="C13" s="387"/>
      <c r="D13" s="387"/>
      <c r="E13" s="387"/>
      <c r="F13" s="387"/>
      <c r="G13" s="387"/>
      <c r="H13" s="387"/>
      <c r="I13" s="387"/>
      <c r="J13" s="387"/>
      <c r="K13" s="387"/>
      <c r="L13" s="387"/>
      <c r="M13" s="387"/>
      <c r="N13" s="387"/>
      <c r="O13" s="388" t="s">
        <v>315</v>
      </c>
      <c r="P13" s="389"/>
      <c r="Q13" s="372" t="s">
        <v>316</v>
      </c>
      <c r="R13" s="372"/>
      <c r="S13" s="390"/>
    </row>
    <row r="14" spans="1:19" ht="15.75">
      <c r="A14" s="681"/>
      <c r="B14" s="387" t="s">
        <v>317</v>
      </c>
      <c r="C14" s="387"/>
      <c r="D14" s="391">
        <v>2</v>
      </c>
      <c r="E14" s="391">
        <v>2</v>
      </c>
      <c r="F14" s="391">
        <v>0</v>
      </c>
      <c r="G14" s="391">
        <v>2</v>
      </c>
      <c r="H14" s="387"/>
      <c r="I14" s="392" t="s">
        <v>318</v>
      </c>
      <c r="J14" s="393"/>
      <c r="K14" s="393"/>
      <c r="L14" s="393"/>
      <c r="M14" s="393"/>
      <c r="N14" s="387"/>
      <c r="O14" s="394">
        <v>1</v>
      </c>
      <c r="P14" s="372" t="s">
        <v>319</v>
      </c>
      <c r="Q14" s="372" t="s">
        <v>320</v>
      </c>
      <c r="R14" s="384"/>
      <c r="S14" s="395">
        <f>IF(Data!$Z$111=2,Salary!AO48,"")</f>
      </c>
    </row>
    <row r="15" spans="1:19" ht="15.75">
      <c r="A15" s="681"/>
      <c r="B15" s="387"/>
      <c r="C15" s="387"/>
      <c r="D15" s="387"/>
      <c r="E15" s="387"/>
      <c r="F15" s="387"/>
      <c r="G15" s="387"/>
      <c r="H15" s="387"/>
      <c r="I15" s="387"/>
      <c r="J15" s="387"/>
      <c r="K15" s="387"/>
      <c r="L15" s="387"/>
      <c r="M15" s="387"/>
      <c r="N15" s="387"/>
      <c r="O15" s="394">
        <v>2</v>
      </c>
      <c r="P15" s="372" t="s">
        <v>321</v>
      </c>
      <c r="Q15" s="372" t="s">
        <v>320</v>
      </c>
      <c r="R15" s="396"/>
      <c r="S15" s="395"/>
    </row>
    <row r="16" spans="1:19" ht="15.75">
      <c r="A16" s="681"/>
      <c r="B16" s="387" t="s">
        <v>322</v>
      </c>
      <c r="C16" s="387"/>
      <c r="D16" s="391">
        <v>0</v>
      </c>
      <c r="E16" s="397" t="str">
        <f>IF(ISERROR(RIGHT(Data!I54,1)),"",RIGHT(Data!I54,1))</f>
        <v>2</v>
      </c>
      <c r="F16" s="387"/>
      <c r="G16" s="387"/>
      <c r="H16" s="398"/>
      <c r="I16" s="392" t="str">
        <f>IF(E16="","",IF(E16=1,"Elementary Education ","Secondary Education"))</f>
        <v>Secondary Education</v>
      </c>
      <c r="J16" s="393"/>
      <c r="K16" s="393"/>
      <c r="L16" s="393"/>
      <c r="M16" s="387"/>
      <c r="N16" s="387"/>
      <c r="O16" s="394">
        <v>3</v>
      </c>
      <c r="P16" s="372" t="s">
        <v>323</v>
      </c>
      <c r="Q16" s="372" t="s">
        <v>320</v>
      </c>
      <c r="R16" s="396"/>
      <c r="S16" s="399"/>
    </row>
    <row r="17" spans="1:19" ht="15.75">
      <c r="A17" s="681"/>
      <c r="B17" s="387"/>
      <c r="C17" s="387"/>
      <c r="D17" s="387"/>
      <c r="E17" s="387"/>
      <c r="F17" s="387"/>
      <c r="G17" s="387"/>
      <c r="H17" s="387"/>
      <c r="I17" s="387"/>
      <c r="J17" s="387"/>
      <c r="K17" s="387"/>
      <c r="L17" s="387"/>
      <c r="M17" s="387"/>
      <c r="N17" s="387"/>
      <c r="O17" s="394">
        <v>4</v>
      </c>
      <c r="P17" s="372" t="s">
        <v>324</v>
      </c>
      <c r="Q17" s="372" t="s">
        <v>320</v>
      </c>
      <c r="R17" s="396"/>
      <c r="S17" s="400">
        <f>Salary!AM48</f>
        <v>0</v>
      </c>
    </row>
    <row r="18" spans="1:19" ht="15.75">
      <c r="A18" s="681"/>
      <c r="B18" s="387" t="s">
        <v>325</v>
      </c>
      <c r="C18" s="387"/>
      <c r="D18" s="401">
        <v>1</v>
      </c>
      <c r="E18" s="401" t="str">
        <f>IF(ISERROR(MID(Data!J54,2,1)),"",MID(Data!J54,2,1))</f>
        <v>9</v>
      </c>
      <c r="F18" s="401" t="str">
        <f>IF(ISERROR(MID(Data!J54,3,1)),"",MID(Data!J54,3,1))</f>
        <v>1</v>
      </c>
      <c r="G18" s="387"/>
      <c r="H18" s="718" t="str">
        <f>IF(F18="","",Data!P54)</f>
        <v>Teaching Grants ZP</v>
      </c>
      <c r="I18" s="718"/>
      <c r="J18" s="718"/>
      <c r="K18" s="718"/>
      <c r="L18" s="718"/>
      <c r="M18" s="718"/>
      <c r="N18" s="387"/>
      <c r="O18" s="394">
        <v>5</v>
      </c>
      <c r="P18" s="372" t="s">
        <v>326</v>
      </c>
      <c r="Q18" s="372" t="s">
        <v>320</v>
      </c>
      <c r="R18" s="396"/>
      <c r="S18" s="399"/>
    </row>
    <row r="19" spans="1:19" ht="15.75">
      <c r="A19" s="681"/>
      <c r="B19" s="387"/>
      <c r="C19" s="387"/>
      <c r="D19" s="387"/>
      <c r="E19" s="387"/>
      <c r="F19" s="387"/>
      <c r="G19" s="387"/>
      <c r="H19" s="402"/>
      <c r="I19" s="402"/>
      <c r="J19" s="402"/>
      <c r="K19" s="402"/>
      <c r="L19" s="402"/>
      <c r="M19" s="402"/>
      <c r="N19" s="387"/>
      <c r="O19" s="394">
        <v>6</v>
      </c>
      <c r="P19" s="372" t="s">
        <v>327</v>
      </c>
      <c r="Q19" s="372" t="s">
        <v>320</v>
      </c>
      <c r="R19" s="396"/>
      <c r="S19" s="400"/>
    </row>
    <row r="20" spans="1:19" ht="15.75">
      <c r="A20" s="681"/>
      <c r="B20" s="717" t="s">
        <v>328</v>
      </c>
      <c r="C20" s="717"/>
      <c r="D20" s="387"/>
      <c r="E20" s="391" t="s">
        <v>264</v>
      </c>
      <c r="F20" s="391" t="s">
        <v>264</v>
      </c>
      <c r="G20" s="387"/>
      <c r="H20" s="387"/>
      <c r="I20" s="387"/>
      <c r="J20" s="387"/>
      <c r="K20" s="387"/>
      <c r="L20" s="387"/>
      <c r="M20" s="387"/>
      <c r="N20" s="387"/>
      <c r="O20" s="394">
        <v>7</v>
      </c>
      <c r="P20" s="372" t="s">
        <v>329</v>
      </c>
      <c r="Q20" s="372" t="s">
        <v>320</v>
      </c>
      <c r="R20" s="396"/>
      <c r="S20" s="399"/>
    </row>
    <row r="21" spans="1:19" ht="15.75">
      <c r="A21" s="681"/>
      <c r="B21" s="387"/>
      <c r="C21" s="387"/>
      <c r="D21" s="387"/>
      <c r="E21" s="387"/>
      <c r="F21" s="387"/>
      <c r="G21" s="387"/>
      <c r="H21" s="694" t="str">
        <f>_xlfn.IFERROR(IF(F22="","",Data!P54),"")</f>
        <v>Teaching Grants ZP</v>
      </c>
      <c r="I21" s="694"/>
      <c r="J21" s="694"/>
      <c r="K21" s="694"/>
      <c r="L21" s="694"/>
      <c r="M21" s="387"/>
      <c r="N21" s="387"/>
      <c r="O21" s="394">
        <v>8</v>
      </c>
      <c r="P21" s="372" t="s">
        <v>330</v>
      </c>
      <c r="Q21" s="372" t="s">
        <v>320</v>
      </c>
      <c r="R21" s="372"/>
      <c r="S21" s="400"/>
    </row>
    <row r="22" spans="1:19" ht="15.75">
      <c r="A22" s="681"/>
      <c r="B22" s="387" t="s">
        <v>331</v>
      </c>
      <c r="C22" s="387"/>
      <c r="D22" s="387"/>
      <c r="E22" s="391">
        <v>0</v>
      </c>
      <c r="F22" s="391">
        <f>IF(ISERROR(IF(OR(Data!G54=7,Data!G54=8,Data!G54=9),4,5)),"",IF(OR(Data!G54=7,Data!G54=8,Data!G54=9),4,5))</f>
        <v>5</v>
      </c>
      <c r="G22" s="387"/>
      <c r="H22" s="695"/>
      <c r="I22" s="695"/>
      <c r="J22" s="695"/>
      <c r="K22" s="695"/>
      <c r="L22" s="695"/>
      <c r="M22" s="403"/>
      <c r="N22" s="387"/>
      <c r="O22" s="394">
        <v>9</v>
      </c>
      <c r="P22" s="372" t="s">
        <v>332</v>
      </c>
      <c r="Q22" s="372" t="s">
        <v>320</v>
      </c>
      <c r="R22" s="384"/>
      <c r="S22" s="400"/>
    </row>
    <row r="23" spans="1:19" ht="15.75">
      <c r="A23" s="681"/>
      <c r="B23" s="387"/>
      <c r="C23" s="387"/>
      <c r="D23" s="387"/>
      <c r="E23" s="387"/>
      <c r="F23" s="387"/>
      <c r="G23" s="387"/>
      <c r="H23" s="403"/>
      <c r="I23" s="403"/>
      <c r="J23" s="403"/>
      <c r="K23" s="403"/>
      <c r="L23" s="403"/>
      <c r="M23" s="403"/>
      <c r="N23" s="387"/>
      <c r="O23" s="394">
        <v>10</v>
      </c>
      <c r="P23" s="372" t="s">
        <v>333</v>
      </c>
      <c r="Q23" s="372" t="s">
        <v>320</v>
      </c>
      <c r="R23" s="396"/>
      <c r="S23" s="399"/>
    </row>
    <row r="24" spans="1:19" ht="15.75">
      <c r="A24" s="681"/>
      <c r="B24" s="717" t="s">
        <v>334</v>
      </c>
      <c r="C24" s="717"/>
      <c r="D24" s="404">
        <v>0</v>
      </c>
      <c r="E24" s="404">
        <v>1</v>
      </c>
      <c r="F24" s="404">
        <v>0</v>
      </c>
      <c r="G24" s="387"/>
      <c r="H24" s="398" t="s">
        <v>335</v>
      </c>
      <c r="I24" s="387"/>
      <c r="J24" s="387"/>
      <c r="K24" s="387"/>
      <c r="L24" s="387"/>
      <c r="M24" s="387"/>
      <c r="N24" s="387"/>
      <c r="O24" s="394">
        <v>11</v>
      </c>
      <c r="P24" s="372" t="s">
        <v>336</v>
      </c>
      <c r="Q24" s="372" t="s">
        <v>320</v>
      </c>
      <c r="R24" s="396"/>
      <c r="S24" s="400"/>
    </row>
    <row r="25" spans="1:19" ht="15.75">
      <c r="A25" s="681"/>
      <c r="B25" s="405" t="s">
        <v>337</v>
      </c>
      <c r="C25" s="405"/>
      <c r="D25" s="405"/>
      <c r="E25" s="405"/>
      <c r="F25" s="405"/>
      <c r="G25" s="405"/>
      <c r="H25" s="721"/>
      <c r="I25" s="721"/>
      <c r="J25" s="721"/>
      <c r="K25" s="721"/>
      <c r="L25" s="721"/>
      <c r="M25" s="721"/>
      <c r="N25" s="387"/>
      <c r="O25" s="394">
        <v>12</v>
      </c>
      <c r="P25" s="372" t="s">
        <v>338</v>
      </c>
      <c r="Q25" s="372" t="s">
        <v>320</v>
      </c>
      <c r="R25" s="396"/>
      <c r="S25" s="399"/>
    </row>
    <row r="26" spans="1:19" ht="15.75">
      <c r="A26" s="681"/>
      <c r="B26" s="387"/>
      <c r="C26" s="387"/>
      <c r="D26" s="387"/>
      <c r="E26" s="387"/>
      <c r="F26" s="387"/>
      <c r="G26" s="387"/>
      <c r="H26" s="387"/>
      <c r="I26" s="387"/>
      <c r="J26" s="387"/>
      <c r="K26" s="387"/>
      <c r="L26" s="387"/>
      <c r="M26" s="387"/>
      <c r="N26" s="387"/>
      <c r="O26" s="394">
        <v>13</v>
      </c>
      <c r="P26" s="406" t="s">
        <v>339</v>
      </c>
      <c r="Q26" s="372" t="s">
        <v>320</v>
      </c>
      <c r="R26" s="396"/>
      <c r="S26" s="400"/>
    </row>
    <row r="27" spans="1:19" ht="15.75">
      <c r="A27" s="681"/>
      <c r="B27" s="717" t="s">
        <v>340</v>
      </c>
      <c r="C27" s="717"/>
      <c r="D27" s="717"/>
      <c r="E27" s="391" t="s">
        <v>341</v>
      </c>
      <c r="F27" s="387"/>
      <c r="G27" s="387" t="s">
        <v>342</v>
      </c>
      <c r="H27" s="387"/>
      <c r="I27" s="387"/>
      <c r="J27" s="387"/>
      <c r="K27" s="387"/>
      <c r="L27" s="407" t="s">
        <v>343</v>
      </c>
      <c r="M27" s="408"/>
      <c r="N27" s="387"/>
      <c r="O27" s="394">
        <v>14</v>
      </c>
      <c r="P27" s="406" t="s">
        <v>344</v>
      </c>
      <c r="Q27" s="372" t="s">
        <v>320</v>
      </c>
      <c r="R27" s="396"/>
      <c r="S27" s="399"/>
    </row>
    <row r="28" spans="1:19" ht="15.75">
      <c r="A28" s="681"/>
      <c r="B28" s="387"/>
      <c r="C28" s="387"/>
      <c r="D28" s="387"/>
      <c r="E28" s="387"/>
      <c r="F28" s="387"/>
      <c r="G28" s="387"/>
      <c r="H28" s="387"/>
      <c r="I28" s="387"/>
      <c r="J28" s="387"/>
      <c r="K28" s="387"/>
      <c r="L28" s="387"/>
      <c r="M28" s="387"/>
      <c r="N28" s="387"/>
      <c r="O28" s="394">
        <v>15</v>
      </c>
      <c r="P28" s="406" t="s">
        <v>345</v>
      </c>
      <c r="Q28" s="372" t="s">
        <v>320</v>
      </c>
      <c r="R28" s="396"/>
      <c r="S28" s="400"/>
    </row>
    <row r="29" spans="1:19" ht="15.75">
      <c r="A29" s="681"/>
      <c r="B29" s="717" t="s">
        <v>346</v>
      </c>
      <c r="C29" s="717"/>
      <c r="D29" s="717"/>
      <c r="E29" s="717"/>
      <c r="F29" s="387"/>
      <c r="G29" s="387"/>
      <c r="H29" s="387"/>
      <c r="I29" s="387"/>
      <c r="J29" s="387"/>
      <c r="K29" s="387"/>
      <c r="L29" s="387"/>
      <c r="M29" s="387"/>
      <c r="N29" s="387"/>
      <c r="O29" s="394">
        <v>16</v>
      </c>
      <c r="P29" s="406" t="s">
        <v>347</v>
      </c>
      <c r="Q29" s="372" t="s">
        <v>320</v>
      </c>
      <c r="R29" s="396"/>
      <c r="S29" s="399"/>
    </row>
    <row r="30" spans="1:19" ht="15.75">
      <c r="A30" s="681"/>
      <c r="B30" s="722" t="s">
        <v>348</v>
      </c>
      <c r="C30" s="722"/>
      <c r="D30" s="722"/>
      <c r="E30" s="391">
        <v>2</v>
      </c>
      <c r="F30" s="391">
        <v>2</v>
      </c>
      <c r="G30" s="391">
        <v>0</v>
      </c>
      <c r="H30" s="391">
        <v>2</v>
      </c>
      <c r="I30" s="393"/>
      <c r="J30" s="393"/>
      <c r="K30" s="393"/>
      <c r="L30" s="393"/>
      <c r="M30" s="393"/>
      <c r="N30" s="387"/>
      <c r="O30" s="394">
        <v>17</v>
      </c>
      <c r="P30" s="406" t="s">
        <v>349</v>
      </c>
      <c r="Q30" s="372" t="s">
        <v>320</v>
      </c>
      <c r="R30" s="396"/>
      <c r="S30" s="400"/>
    </row>
    <row r="31" spans="1:19" ht="15.75">
      <c r="A31" s="681"/>
      <c r="B31" s="372"/>
      <c r="C31" s="372"/>
      <c r="D31" s="372"/>
      <c r="E31" s="372"/>
      <c r="F31" s="372"/>
      <c r="G31" s="372"/>
      <c r="H31" s="372"/>
      <c r="I31" s="372"/>
      <c r="J31" s="372"/>
      <c r="K31" s="372"/>
      <c r="L31" s="372"/>
      <c r="M31" s="372"/>
      <c r="N31" s="372"/>
      <c r="O31" s="394">
        <v>18</v>
      </c>
      <c r="P31" s="372" t="s">
        <v>350</v>
      </c>
      <c r="Q31" s="372" t="s">
        <v>320</v>
      </c>
      <c r="R31" s="396"/>
      <c r="S31" s="399"/>
    </row>
    <row r="32" spans="1:19" ht="15.75">
      <c r="A32" s="681"/>
      <c r="B32" s="372" t="s">
        <v>351</v>
      </c>
      <c r="C32" s="372"/>
      <c r="D32" s="372"/>
      <c r="E32" s="372"/>
      <c r="F32" s="372"/>
      <c r="G32" s="372" t="s">
        <v>279</v>
      </c>
      <c r="H32" s="716">
        <f>Salary!AB48+Salary!AC48</f>
        <v>16051</v>
      </c>
      <c r="I32" s="716"/>
      <c r="J32" s="716"/>
      <c r="K32" s="716"/>
      <c r="L32" s="383"/>
      <c r="M32" s="372"/>
      <c r="N32" s="372"/>
      <c r="O32" s="394">
        <v>19</v>
      </c>
      <c r="P32" s="372" t="s">
        <v>352</v>
      </c>
      <c r="Q32" s="372" t="s">
        <v>320</v>
      </c>
      <c r="R32" s="396"/>
      <c r="S32" s="400"/>
    </row>
    <row r="33" spans="1:19" ht="15.75">
      <c r="A33" s="681"/>
      <c r="B33" s="372" t="s">
        <v>353</v>
      </c>
      <c r="C33" s="372"/>
      <c r="D33" s="372"/>
      <c r="E33" s="372"/>
      <c r="F33" s="372"/>
      <c r="G33" s="372" t="s">
        <v>279</v>
      </c>
      <c r="H33" s="716">
        <f>Salary!AH48+Salary!AI48+Salary!AJ48</f>
        <v>0</v>
      </c>
      <c r="I33" s="716"/>
      <c r="J33" s="716"/>
      <c r="K33" s="716"/>
      <c r="L33" s="383"/>
      <c r="M33" s="372"/>
      <c r="N33" s="372"/>
      <c r="O33" s="394">
        <v>20</v>
      </c>
      <c r="P33" s="372" t="s">
        <v>354</v>
      </c>
      <c r="Q33" s="372" t="s">
        <v>320</v>
      </c>
      <c r="R33" s="396"/>
      <c r="S33" s="400"/>
    </row>
    <row r="34" spans="1:19" ht="15.75">
      <c r="A34" s="681"/>
      <c r="B34" s="372" t="s">
        <v>355</v>
      </c>
      <c r="C34" s="372"/>
      <c r="D34" s="372"/>
      <c r="E34" s="372"/>
      <c r="F34" s="372"/>
      <c r="G34" s="372" t="s">
        <v>279</v>
      </c>
      <c r="H34" s="716">
        <f>Salary!AE48</f>
        <v>42091</v>
      </c>
      <c r="I34" s="716"/>
      <c r="J34" s="716"/>
      <c r="K34" s="716"/>
      <c r="L34" s="383"/>
      <c r="M34" s="372"/>
      <c r="N34" s="372"/>
      <c r="O34" s="394">
        <v>21</v>
      </c>
      <c r="P34" s="409" t="s">
        <v>356</v>
      </c>
      <c r="Q34" s="372" t="s">
        <v>320</v>
      </c>
      <c r="R34" s="396"/>
      <c r="S34" s="400">
        <f>IF(Data!$Z$111=1,Salary!AO48,"")</f>
      </c>
    </row>
    <row r="35" spans="1:19" ht="15.75">
      <c r="A35" s="681"/>
      <c r="B35" s="372" t="s">
        <v>357</v>
      </c>
      <c r="C35" s="372"/>
      <c r="D35" s="372"/>
      <c r="E35" s="372"/>
      <c r="F35" s="372"/>
      <c r="G35" s="372" t="s">
        <v>279</v>
      </c>
      <c r="H35" s="716">
        <f>Salary!AF48</f>
        <v>40788</v>
      </c>
      <c r="I35" s="716"/>
      <c r="J35" s="716"/>
      <c r="K35" s="716"/>
      <c r="L35" s="383"/>
      <c r="M35" s="372"/>
      <c r="N35" s="372"/>
      <c r="O35" s="394">
        <v>22</v>
      </c>
      <c r="P35" s="410" t="s">
        <v>358</v>
      </c>
      <c r="Q35" s="372" t="s">
        <v>320</v>
      </c>
      <c r="R35" s="396"/>
      <c r="S35" s="395">
        <f>IF(Data!$Z$111=3,Salary!AO48,"")</f>
        <v>11545</v>
      </c>
    </row>
    <row r="36" spans="1:19" ht="15.75">
      <c r="A36" s="681"/>
      <c r="B36" s="372" t="s">
        <v>359</v>
      </c>
      <c r="C36" s="372"/>
      <c r="D36" s="372"/>
      <c r="E36" s="372"/>
      <c r="F36" s="372"/>
      <c r="G36" s="372" t="s">
        <v>279</v>
      </c>
      <c r="H36" s="716"/>
      <c r="I36" s="716"/>
      <c r="J36" s="716"/>
      <c r="K36" s="716"/>
      <c r="L36" s="383"/>
      <c r="M36" s="372"/>
      <c r="N36" s="372"/>
      <c r="O36" s="394">
        <v>23</v>
      </c>
      <c r="P36" s="410" t="s">
        <v>360</v>
      </c>
      <c r="Q36" s="372"/>
      <c r="R36" s="396"/>
      <c r="S36" s="395"/>
    </row>
    <row r="37" spans="1:19" ht="15.75" customHeight="1">
      <c r="A37" s="681"/>
      <c r="B37" s="372" t="s">
        <v>361</v>
      </c>
      <c r="C37" s="372"/>
      <c r="D37" s="372"/>
      <c r="E37" s="372"/>
      <c r="F37" s="372"/>
      <c r="G37" s="372" t="s">
        <v>279</v>
      </c>
      <c r="H37" s="716"/>
      <c r="I37" s="716"/>
      <c r="J37" s="716"/>
      <c r="K37" s="716"/>
      <c r="L37" s="383"/>
      <c r="M37" s="372"/>
      <c r="N37" s="411"/>
      <c r="O37" s="724" t="s">
        <v>362</v>
      </c>
      <c r="P37" s="725"/>
      <c r="Q37" s="372" t="s">
        <v>320</v>
      </c>
      <c r="R37" s="396"/>
      <c r="S37" s="395">
        <f>SUM(S14:S36)</f>
        <v>11545</v>
      </c>
    </row>
    <row r="38" spans="1:19" ht="15.75">
      <c r="A38" s="681"/>
      <c r="B38" s="372" t="s">
        <v>363</v>
      </c>
      <c r="C38" s="372"/>
      <c r="D38" s="372"/>
      <c r="E38" s="372"/>
      <c r="F38" s="372"/>
      <c r="G38" s="372" t="s">
        <v>279</v>
      </c>
      <c r="H38" s="716"/>
      <c r="I38" s="716"/>
      <c r="J38" s="716"/>
      <c r="K38" s="716"/>
      <c r="L38" s="383"/>
      <c r="M38" s="372"/>
      <c r="N38" s="372"/>
      <c r="O38" s="394"/>
      <c r="P38" s="372"/>
      <c r="Q38" s="372"/>
      <c r="R38" s="372"/>
      <c r="S38" s="390"/>
    </row>
    <row r="39" spans="1:19" ht="15.75">
      <c r="A39" s="681"/>
      <c r="B39" s="372" t="s">
        <v>364</v>
      </c>
      <c r="C39" s="372"/>
      <c r="D39" s="372"/>
      <c r="E39" s="372"/>
      <c r="F39" s="372"/>
      <c r="G39" s="372" t="s">
        <v>279</v>
      </c>
      <c r="H39" s="716"/>
      <c r="I39" s="716"/>
      <c r="J39" s="716"/>
      <c r="K39" s="716"/>
      <c r="L39" s="383"/>
      <c r="M39" s="372"/>
      <c r="N39" s="383"/>
      <c r="O39" s="726" t="s">
        <v>365</v>
      </c>
      <c r="P39" s="727"/>
      <c r="Q39" s="377" t="s">
        <v>279</v>
      </c>
      <c r="R39" s="377"/>
      <c r="S39" s="390"/>
    </row>
    <row r="40" spans="1:19" ht="15.75">
      <c r="A40" s="681"/>
      <c r="B40" s="372" t="s">
        <v>366</v>
      </c>
      <c r="C40" s="372"/>
      <c r="D40" s="372"/>
      <c r="E40" s="372"/>
      <c r="F40" s="372"/>
      <c r="G40" s="372" t="s">
        <v>279</v>
      </c>
      <c r="H40" s="743">
        <f>SUM(H32:K39)</f>
        <v>98930</v>
      </c>
      <c r="I40" s="743"/>
      <c r="J40" s="743"/>
      <c r="K40" s="743"/>
      <c r="L40" s="383"/>
      <c r="M40" s="372"/>
      <c r="N40" s="372"/>
      <c r="O40" s="394"/>
      <c r="P40" s="372"/>
      <c r="Q40" s="372"/>
      <c r="R40" s="372"/>
      <c r="S40" s="390"/>
    </row>
    <row r="41" spans="1:19" ht="15.75">
      <c r="A41" s="681"/>
      <c r="B41" s="372" t="s">
        <v>367</v>
      </c>
      <c r="C41" s="372"/>
      <c r="D41" s="372"/>
      <c r="E41" s="372"/>
      <c r="F41" s="372"/>
      <c r="G41" s="372" t="s">
        <v>279</v>
      </c>
      <c r="H41" s="716">
        <f>Salary!AO48</f>
        <v>11545</v>
      </c>
      <c r="I41" s="716"/>
      <c r="J41" s="716"/>
      <c r="K41" s="716"/>
      <c r="L41" s="383"/>
      <c r="M41" s="372"/>
      <c r="N41" s="372"/>
      <c r="O41" s="394"/>
      <c r="P41" s="372"/>
      <c r="Q41" s="372"/>
      <c r="R41" s="372"/>
      <c r="S41" s="390"/>
    </row>
    <row r="42" spans="1:19" ht="15.75">
      <c r="A42" s="681"/>
      <c r="B42" s="372" t="s">
        <v>368</v>
      </c>
      <c r="C42" s="372"/>
      <c r="D42" s="372"/>
      <c r="E42" s="372"/>
      <c r="F42" s="372"/>
      <c r="G42" s="372" t="s">
        <v>279</v>
      </c>
      <c r="H42" s="743">
        <f>H40-H41</f>
        <v>87385</v>
      </c>
      <c r="I42" s="743"/>
      <c r="J42" s="743"/>
      <c r="K42" s="743"/>
      <c r="L42" s="383"/>
      <c r="M42" s="372"/>
      <c r="N42" s="372"/>
      <c r="O42" s="394"/>
      <c r="P42" s="372"/>
      <c r="Q42" s="372"/>
      <c r="R42" s="372"/>
      <c r="S42" s="390"/>
    </row>
    <row r="43" spans="1:19" ht="15.75" customHeight="1">
      <c r="A43" s="681"/>
      <c r="B43" s="372" t="s">
        <v>369</v>
      </c>
      <c r="C43" s="372"/>
      <c r="D43" s="372"/>
      <c r="E43" s="372"/>
      <c r="F43" s="372"/>
      <c r="G43" s="372"/>
      <c r="H43" s="372"/>
      <c r="I43" s="372"/>
      <c r="J43" s="372"/>
      <c r="K43" s="372"/>
      <c r="L43" s="372"/>
      <c r="M43" s="372"/>
      <c r="N43" s="372"/>
      <c r="O43" s="394"/>
      <c r="P43" s="372"/>
      <c r="Q43" s="372"/>
      <c r="R43" s="372"/>
      <c r="S43" s="390"/>
    </row>
    <row r="44" spans="1:19" ht="15.75">
      <c r="A44" s="681"/>
      <c r="B44" s="744" t="str">
        <f>words!O4</f>
        <v>Eighty seven Thousand Three Hundred Eighty five Rupees</v>
      </c>
      <c r="C44" s="744"/>
      <c r="D44" s="744"/>
      <c r="E44" s="744"/>
      <c r="F44" s="744"/>
      <c r="G44" s="744"/>
      <c r="H44" s="744"/>
      <c r="I44" s="744"/>
      <c r="J44" s="744"/>
      <c r="K44" s="744"/>
      <c r="L44" s="744"/>
      <c r="M44" s="744"/>
      <c r="N44" s="745"/>
      <c r="O44" s="412"/>
      <c r="P44" s="372"/>
      <c r="Q44" s="750" t="s">
        <v>370</v>
      </c>
      <c r="R44" s="750"/>
      <c r="S44" s="751"/>
    </row>
    <row r="45" spans="1:19" ht="15.75">
      <c r="A45" s="681"/>
      <c r="B45" s="746"/>
      <c r="C45" s="746"/>
      <c r="D45" s="746"/>
      <c r="E45" s="746"/>
      <c r="F45" s="746"/>
      <c r="G45" s="746"/>
      <c r="H45" s="746"/>
      <c r="I45" s="746"/>
      <c r="J45" s="746"/>
      <c r="K45" s="746"/>
      <c r="L45" s="746"/>
      <c r="M45" s="746"/>
      <c r="N45" s="747"/>
      <c r="O45" s="413"/>
      <c r="P45" s="384"/>
      <c r="Q45" s="384"/>
      <c r="R45" s="384"/>
      <c r="S45" s="385"/>
    </row>
    <row r="46" spans="1:19" ht="15.75">
      <c r="A46" s="103"/>
      <c r="B46" s="106" t="s">
        <v>371</v>
      </c>
      <c r="C46" s="106"/>
      <c r="D46" s="106"/>
      <c r="E46" s="106"/>
      <c r="F46" s="106"/>
      <c r="G46" s="106"/>
      <c r="H46" s="106"/>
      <c r="I46" s="106"/>
      <c r="J46" s="106"/>
      <c r="K46" s="106"/>
      <c r="L46" s="106"/>
      <c r="M46" s="106"/>
      <c r="N46" s="106"/>
      <c r="O46" s="106"/>
      <c r="P46" s="106"/>
      <c r="Q46" s="106"/>
      <c r="R46" s="106"/>
      <c r="S46" s="107"/>
    </row>
    <row r="47" spans="1:19" ht="15.75">
      <c r="A47" s="103"/>
      <c r="B47" s="105" t="s">
        <v>372</v>
      </c>
      <c r="C47" s="96"/>
      <c r="D47" s="96"/>
      <c r="E47" s="96"/>
      <c r="F47" s="96"/>
      <c r="G47" s="96"/>
      <c r="H47" s="96"/>
      <c r="I47" s="96" t="s">
        <v>373</v>
      </c>
      <c r="J47" s="96"/>
      <c r="K47" s="96"/>
      <c r="L47" s="96"/>
      <c r="M47" s="96"/>
      <c r="N47" s="96"/>
      <c r="O47" s="96"/>
      <c r="P47" s="96"/>
      <c r="Q47" s="96"/>
      <c r="R47" s="96"/>
      <c r="S47" s="101"/>
    </row>
    <row r="48" spans="1:19" ht="15.75">
      <c r="A48" s="103"/>
      <c r="B48" s="105" t="s">
        <v>374</v>
      </c>
      <c r="C48" s="96"/>
      <c r="D48" s="96"/>
      <c r="E48" s="96"/>
      <c r="F48" s="96"/>
      <c r="G48" s="96"/>
      <c r="H48" s="96"/>
      <c r="I48" s="96"/>
      <c r="J48" s="96"/>
      <c r="K48" s="96"/>
      <c r="L48" s="96"/>
      <c r="M48" s="96"/>
      <c r="N48" s="96"/>
      <c r="O48" s="96"/>
      <c r="P48" s="96"/>
      <c r="Q48" s="96"/>
      <c r="R48" s="96"/>
      <c r="S48" s="101"/>
    </row>
    <row r="49" spans="1:19" ht="15.75">
      <c r="A49" s="103"/>
      <c r="B49" s="105" t="s">
        <v>375</v>
      </c>
      <c r="C49" s="96"/>
      <c r="D49" s="96"/>
      <c r="E49" s="96"/>
      <c r="F49" s="96"/>
      <c r="G49" s="96"/>
      <c r="H49" s="96"/>
      <c r="I49" s="96"/>
      <c r="J49" s="96"/>
      <c r="K49" s="96"/>
      <c r="L49" s="96"/>
      <c r="M49" s="96"/>
      <c r="N49" s="96"/>
      <c r="O49" s="96"/>
      <c r="P49" s="96"/>
      <c r="Q49" s="96"/>
      <c r="R49" s="96"/>
      <c r="S49" s="101"/>
    </row>
    <row r="50" spans="1:19" ht="15.75">
      <c r="A50" s="103"/>
      <c r="B50" s="105" t="s">
        <v>376</v>
      </c>
      <c r="C50" s="96"/>
      <c r="D50" s="96"/>
      <c r="E50" s="96"/>
      <c r="F50" s="96"/>
      <c r="G50" s="96"/>
      <c r="H50" s="96"/>
      <c r="I50" s="96"/>
      <c r="J50" s="96"/>
      <c r="K50" s="96"/>
      <c r="L50" s="96"/>
      <c r="M50" s="96"/>
      <c r="N50" s="96"/>
      <c r="O50" s="96"/>
      <c r="P50" s="96"/>
      <c r="Q50" s="96"/>
      <c r="R50" s="96"/>
      <c r="S50" s="101"/>
    </row>
    <row r="51" spans="1:19" ht="15.75">
      <c r="A51" s="103"/>
      <c r="B51" s="96"/>
      <c r="C51" s="96"/>
      <c r="D51" s="96"/>
      <c r="E51" s="96"/>
      <c r="F51" s="96"/>
      <c r="G51" s="96"/>
      <c r="H51" s="96"/>
      <c r="I51" s="96"/>
      <c r="J51" s="96"/>
      <c r="K51" s="96"/>
      <c r="L51" s="96"/>
      <c r="M51" s="96"/>
      <c r="N51" s="96"/>
      <c r="O51" s="96"/>
      <c r="P51" s="96"/>
      <c r="Q51" s="96"/>
      <c r="R51" s="96"/>
      <c r="S51" s="101"/>
    </row>
    <row r="52" spans="1:19" ht="15.75">
      <c r="A52" s="103"/>
      <c r="B52" s="96"/>
      <c r="C52" s="96"/>
      <c r="D52" s="96"/>
      <c r="E52" s="96">
        <v>1</v>
      </c>
      <c r="F52" s="96" t="s">
        <v>377</v>
      </c>
      <c r="G52" s="96"/>
      <c r="H52" s="96"/>
      <c r="I52" s="96"/>
      <c r="J52" s="96"/>
      <c r="K52" s="96"/>
      <c r="L52" s="748" t="s">
        <v>378</v>
      </c>
      <c r="M52" s="748"/>
      <c r="N52" s="748"/>
      <c r="O52" s="748"/>
      <c r="P52" s="748"/>
      <c r="Q52" s="748"/>
      <c r="R52" s="748"/>
      <c r="S52" s="749"/>
    </row>
    <row r="53" spans="1:19" ht="15.75">
      <c r="A53" s="103"/>
      <c r="B53" s="97"/>
      <c r="C53" s="97"/>
      <c r="D53" s="96"/>
      <c r="E53" s="96"/>
      <c r="F53" s="96" t="s">
        <v>379</v>
      </c>
      <c r="G53" s="96"/>
      <c r="H53" s="96"/>
      <c r="I53" s="96"/>
      <c r="J53" s="96"/>
      <c r="K53" s="96"/>
      <c r="L53" s="96"/>
      <c r="M53" s="96"/>
      <c r="N53" s="96"/>
      <c r="O53" s="96"/>
      <c r="P53" s="96"/>
      <c r="Q53" s="96"/>
      <c r="R53" s="96"/>
      <c r="S53" s="101"/>
    </row>
    <row r="54" spans="1:19" ht="15.75">
      <c r="A54" s="103"/>
      <c r="B54" s="97"/>
      <c r="C54" s="97"/>
      <c r="D54" s="96"/>
      <c r="E54" s="96">
        <v>2</v>
      </c>
      <c r="F54" s="96" t="s">
        <v>377</v>
      </c>
      <c r="G54" s="96"/>
      <c r="H54" s="96"/>
      <c r="I54" s="96"/>
      <c r="J54" s="96"/>
      <c r="K54" s="96"/>
      <c r="L54" s="728" t="s">
        <v>380</v>
      </c>
      <c r="M54" s="728"/>
      <c r="N54" s="728"/>
      <c r="O54" s="728"/>
      <c r="P54" s="728"/>
      <c r="Q54" s="728"/>
      <c r="R54" s="728"/>
      <c r="S54" s="729"/>
    </row>
    <row r="55" spans="1:19" ht="15.75">
      <c r="A55" s="103"/>
      <c r="B55" s="97"/>
      <c r="C55" s="97"/>
      <c r="D55" s="96"/>
      <c r="E55" s="96"/>
      <c r="F55" s="96" t="s">
        <v>381</v>
      </c>
      <c r="G55" s="96"/>
      <c r="H55" s="96"/>
      <c r="I55" s="96"/>
      <c r="J55" s="96"/>
      <c r="K55" s="96"/>
      <c r="L55" s="96"/>
      <c r="M55" s="96"/>
      <c r="N55" s="96"/>
      <c r="O55" s="96"/>
      <c r="P55" s="96"/>
      <c r="Q55" s="96"/>
      <c r="R55" s="96"/>
      <c r="S55" s="101"/>
    </row>
    <row r="56" spans="1:19" ht="15.75">
      <c r="A56" s="103"/>
      <c r="B56" s="96"/>
      <c r="C56" s="96"/>
      <c r="D56" s="96"/>
      <c r="E56" s="96"/>
      <c r="F56" s="96"/>
      <c r="G56" s="96"/>
      <c r="H56" s="96"/>
      <c r="I56" s="96"/>
      <c r="J56" s="730" t="s">
        <v>382</v>
      </c>
      <c r="K56" s="730"/>
      <c r="L56" s="730"/>
      <c r="M56" s="730"/>
      <c r="N56" s="730"/>
      <c r="O56" s="730"/>
      <c r="P56" s="730"/>
      <c r="Q56" s="730"/>
      <c r="R56" s="730"/>
      <c r="S56" s="731"/>
    </row>
    <row r="57" spans="1:19" ht="15.75">
      <c r="A57" s="103"/>
      <c r="B57" s="96"/>
      <c r="C57" s="96"/>
      <c r="D57" s="96"/>
      <c r="E57" s="96"/>
      <c r="F57" s="96"/>
      <c r="G57" s="96"/>
      <c r="H57" s="96"/>
      <c r="I57" s="96"/>
      <c r="J57" s="96"/>
      <c r="K57" s="96"/>
      <c r="L57" s="96"/>
      <c r="M57" s="96"/>
      <c r="N57" s="96"/>
      <c r="O57" s="96"/>
      <c r="P57" s="96"/>
      <c r="Q57" s="96"/>
      <c r="R57" s="96"/>
      <c r="S57" s="101"/>
    </row>
    <row r="58" spans="1:19" ht="15.75">
      <c r="A58" s="108" t="s">
        <v>703</v>
      </c>
      <c r="B58" s="98"/>
      <c r="C58" s="98"/>
      <c r="D58" s="98"/>
      <c r="E58" s="98"/>
      <c r="F58" s="98"/>
      <c r="G58" s="98"/>
      <c r="H58" s="98"/>
      <c r="I58" s="98"/>
      <c r="J58" s="98"/>
      <c r="K58" s="98"/>
      <c r="L58" s="98"/>
      <c r="M58" s="98"/>
      <c r="N58" s="98"/>
      <c r="O58" s="98"/>
      <c r="P58" s="98"/>
      <c r="Q58" s="98"/>
      <c r="R58" s="98"/>
      <c r="S58" s="99"/>
    </row>
    <row r="59" spans="1:19" ht="15.75" hidden="1">
      <c r="A59" s="109"/>
      <c r="B59" s="109"/>
      <c r="C59" s="109"/>
      <c r="D59" s="109"/>
      <c r="E59" s="109"/>
      <c r="F59" s="109"/>
      <c r="G59" s="109"/>
      <c r="H59" s="109"/>
      <c r="I59" s="109"/>
      <c r="J59" s="109"/>
      <c r="K59" s="109"/>
      <c r="L59" s="109"/>
      <c r="M59" s="109"/>
      <c r="N59" s="109"/>
      <c r="O59" s="109"/>
      <c r="P59" s="109"/>
      <c r="Q59" s="109"/>
      <c r="R59" s="109"/>
      <c r="S59" s="109"/>
    </row>
    <row r="60" spans="1:19" ht="15.75">
      <c r="A60" s="109"/>
      <c r="B60" s="109"/>
      <c r="C60" s="109"/>
      <c r="D60" s="109"/>
      <c r="E60" s="109"/>
      <c r="F60" s="109"/>
      <c r="G60" s="109"/>
      <c r="H60" s="109"/>
      <c r="I60" s="109"/>
      <c r="J60" s="109"/>
      <c r="K60" s="109"/>
      <c r="L60" s="109"/>
      <c r="M60" s="109"/>
      <c r="N60" s="109"/>
      <c r="O60" s="109"/>
      <c r="P60" s="109"/>
      <c r="Q60" s="109"/>
      <c r="R60" s="109"/>
      <c r="S60" s="109"/>
    </row>
    <row r="61" spans="1:19" ht="18.75">
      <c r="A61" s="732" t="s">
        <v>383</v>
      </c>
      <c r="B61" s="733"/>
      <c r="C61" s="733"/>
      <c r="D61" s="733"/>
      <c r="E61" s="733"/>
      <c r="F61" s="733"/>
      <c r="G61" s="733"/>
      <c r="H61" s="733"/>
      <c r="I61" s="733"/>
      <c r="J61" s="733"/>
      <c r="K61" s="733"/>
      <c r="L61" s="733"/>
      <c r="M61" s="733"/>
      <c r="N61" s="733"/>
      <c r="O61" s="733"/>
      <c r="P61" s="733"/>
      <c r="Q61" s="733"/>
      <c r="R61" s="733"/>
      <c r="S61" s="110"/>
    </row>
    <row r="62" spans="1:19" ht="16.5">
      <c r="A62" s="95"/>
      <c r="B62" s="111" t="s">
        <v>384</v>
      </c>
      <c r="C62" s="111"/>
      <c r="D62" s="111"/>
      <c r="E62" s="100"/>
      <c r="F62" s="100"/>
      <c r="G62" s="100"/>
      <c r="H62" s="100"/>
      <c r="I62" s="100"/>
      <c r="J62" s="112"/>
      <c r="K62" s="112"/>
      <c r="L62" s="112"/>
      <c r="M62" s="112"/>
      <c r="N62" s="112"/>
      <c r="O62" s="112"/>
      <c r="P62" s="100"/>
      <c r="Q62" s="100"/>
      <c r="R62" s="100"/>
      <c r="S62" s="113"/>
    </row>
    <row r="63" spans="1:19" ht="16.5">
      <c r="A63" s="734"/>
      <c r="B63" s="111" t="s">
        <v>385</v>
      </c>
      <c r="C63" s="111"/>
      <c r="D63" s="111"/>
      <c r="E63" s="100"/>
      <c r="F63" s="100"/>
      <c r="G63" s="100"/>
      <c r="H63" s="100"/>
      <c r="I63" s="100"/>
      <c r="J63" s="112"/>
      <c r="K63" s="112"/>
      <c r="L63" s="112"/>
      <c r="M63" s="112"/>
      <c r="N63" s="112"/>
      <c r="O63" s="112"/>
      <c r="P63" s="114">
        <f>H42</f>
        <v>87385</v>
      </c>
      <c r="Q63" s="100"/>
      <c r="R63" s="100"/>
      <c r="S63" s="113"/>
    </row>
    <row r="64" spans="1:19" ht="16.5">
      <c r="A64" s="735"/>
      <c r="B64" s="111" t="s">
        <v>386</v>
      </c>
      <c r="C64" s="111"/>
      <c r="D64" s="111"/>
      <c r="E64" s="100"/>
      <c r="F64" s="100"/>
      <c r="G64" s="100"/>
      <c r="H64" s="100"/>
      <c r="I64" s="100"/>
      <c r="J64" s="736"/>
      <c r="K64" s="736"/>
      <c r="L64" s="736"/>
      <c r="M64" s="736"/>
      <c r="N64" s="736"/>
      <c r="O64" s="736"/>
      <c r="P64" s="100"/>
      <c r="Q64" s="100"/>
      <c r="R64" s="100"/>
      <c r="S64" s="113"/>
    </row>
    <row r="65" spans="1:19" ht="15.75">
      <c r="A65" s="735"/>
      <c r="B65" s="115"/>
      <c r="C65" s="100"/>
      <c r="D65" s="100"/>
      <c r="E65" s="100"/>
      <c r="F65" s="100"/>
      <c r="G65" s="100"/>
      <c r="H65" s="100"/>
      <c r="I65" s="100"/>
      <c r="J65" s="100"/>
      <c r="K65" s="100"/>
      <c r="L65" s="100"/>
      <c r="M65" s="100"/>
      <c r="N65" s="100"/>
      <c r="O65" s="100"/>
      <c r="P65" s="100"/>
      <c r="Q65" s="100"/>
      <c r="R65" s="100"/>
      <c r="S65" s="113"/>
    </row>
    <row r="66" spans="1:19" ht="15.75">
      <c r="A66" s="735"/>
      <c r="B66" s="100"/>
      <c r="C66" s="100"/>
      <c r="D66" s="100"/>
      <c r="E66" s="100"/>
      <c r="F66" s="100"/>
      <c r="G66" s="100"/>
      <c r="H66" s="100"/>
      <c r="I66" s="100"/>
      <c r="J66" s="100"/>
      <c r="K66" s="100"/>
      <c r="L66" s="100"/>
      <c r="M66" s="100"/>
      <c r="N66" s="100"/>
      <c r="O66" s="100"/>
      <c r="P66" s="100"/>
      <c r="Q66" s="100"/>
      <c r="R66" s="100"/>
      <c r="S66" s="113"/>
    </row>
    <row r="67" spans="1:19" ht="15.75">
      <c r="A67" s="735"/>
      <c r="B67" s="100"/>
      <c r="C67" s="100"/>
      <c r="D67" s="100"/>
      <c r="E67" s="100"/>
      <c r="F67" s="100"/>
      <c r="G67" s="100"/>
      <c r="H67" s="100"/>
      <c r="I67" s="100"/>
      <c r="J67" s="100"/>
      <c r="K67" s="100"/>
      <c r="L67" s="100"/>
      <c r="M67" s="100"/>
      <c r="N67" s="100"/>
      <c r="O67" s="100"/>
      <c r="P67" s="100"/>
      <c r="Q67" s="100"/>
      <c r="R67" s="100"/>
      <c r="S67" s="113"/>
    </row>
    <row r="68" spans="1:19" ht="15.75">
      <c r="A68" s="735"/>
      <c r="B68" s="102"/>
      <c r="C68" s="102"/>
      <c r="D68" s="102"/>
      <c r="E68" s="102"/>
      <c r="F68" s="102"/>
      <c r="G68" s="102"/>
      <c r="H68" s="102"/>
      <c r="I68" s="102"/>
      <c r="J68" s="102"/>
      <c r="K68" s="737" t="s">
        <v>387</v>
      </c>
      <c r="L68" s="737"/>
      <c r="M68" s="737"/>
      <c r="N68" s="737"/>
      <c r="O68" s="737"/>
      <c r="P68" s="737"/>
      <c r="Q68" s="737"/>
      <c r="R68" s="100"/>
      <c r="S68" s="113"/>
    </row>
    <row r="69" spans="1:19" ht="15.75">
      <c r="A69" s="735"/>
      <c r="B69" s="100"/>
      <c r="C69" s="100"/>
      <c r="D69" s="100"/>
      <c r="E69" s="100"/>
      <c r="F69" s="100"/>
      <c r="G69" s="100"/>
      <c r="H69" s="100"/>
      <c r="I69" s="100"/>
      <c r="J69" s="100"/>
      <c r="K69" s="100"/>
      <c r="L69" s="100"/>
      <c r="M69" s="100"/>
      <c r="N69" s="100"/>
      <c r="O69" s="100"/>
      <c r="P69" s="100"/>
      <c r="Q69" s="100"/>
      <c r="R69" s="100"/>
      <c r="S69" s="113"/>
    </row>
    <row r="70" spans="1:19" ht="15">
      <c r="A70" s="735"/>
      <c r="B70" s="738" t="s">
        <v>388</v>
      </c>
      <c r="C70" s="738"/>
      <c r="D70" s="739">
        <f>H42</f>
        <v>87385</v>
      </c>
      <c r="E70" s="739"/>
      <c r="F70" s="739"/>
      <c r="G70" s="740" t="str">
        <f>B44</f>
        <v>Eighty seven Thousand Three Hundred Eighty five Rupees</v>
      </c>
      <c r="H70" s="740"/>
      <c r="I70" s="740"/>
      <c r="J70" s="740"/>
      <c r="K70" s="740"/>
      <c r="L70" s="740"/>
      <c r="M70" s="740"/>
      <c r="N70" s="740"/>
      <c r="O70" s="740"/>
      <c r="P70" s="740"/>
      <c r="Q70" s="740"/>
      <c r="R70" s="740"/>
      <c r="S70" s="741"/>
    </row>
    <row r="71" spans="1:19" ht="15.75">
      <c r="A71" s="735"/>
      <c r="B71" s="100"/>
      <c r="C71" s="100"/>
      <c r="D71" s="100"/>
      <c r="E71" s="116"/>
      <c r="F71" s="116"/>
      <c r="G71" s="740"/>
      <c r="H71" s="740"/>
      <c r="I71" s="740"/>
      <c r="J71" s="740"/>
      <c r="K71" s="740"/>
      <c r="L71" s="740"/>
      <c r="M71" s="740"/>
      <c r="N71" s="740"/>
      <c r="O71" s="740"/>
      <c r="P71" s="740"/>
      <c r="Q71" s="740"/>
      <c r="R71" s="740"/>
      <c r="S71" s="741"/>
    </row>
    <row r="72" spans="1:19" ht="15.75">
      <c r="A72" s="735"/>
      <c r="B72" s="100"/>
      <c r="C72" s="100"/>
      <c r="D72" s="100"/>
      <c r="E72" s="100"/>
      <c r="F72" s="100"/>
      <c r="G72" s="100"/>
      <c r="H72" s="100"/>
      <c r="I72" s="100"/>
      <c r="J72" s="100"/>
      <c r="K72" s="100"/>
      <c r="L72" s="100"/>
      <c r="M72" s="100"/>
      <c r="N72" s="100"/>
      <c r="O72" s="100"/>
      <c r="P72" s="100"/>
      <c r="Q72" s="100"/>
      <c r="R72" s="100"/>
      <c r="S72" s="113"/>
    </row>
    <row r="73" spans="1:19" ht="15.75">
      <c r="A73" s="735"/>
      <c r="B73" s="100"/>
      <c r="C73" s="100"/>
      <c r="D73" s="100"/>
      <c r="E73" s="100"/>
      <c r="F73" s="100"/>
      <c r="G73" s="100"/>
      <c r="H73" s="100"/>
      <c r="I73" s="100"/>
      <c r="J73" s="100"/>
      <c r="K73" s="100"/>
      <c r="L73" s="100"/>
      <c r="M73" s="100"/>
      <c r="N73" s="100"/>
      <c r="O73" s="100"/>
      <c r="P73" s="100"/>
      <c r="Q73" s="100"/>
      <c r="R73" s="100"/>
      <c r="S73" s="113"/>
    </row>
    <row r="74" spans="1:19" ht="15.75">
      <c r="A74" s="735"/>
      <c r="B74" s="100"/>
      <c r="C74" s="100"/>
      <c r="D74" s="100"/>
      <c r="E74" s="100"/>
      <c r="F74" s="100"/>
      <c r="G74" s="100"/>
      <c r="H74" s="100"/>
      <c r="I74" s="100"/>
      <c r="J74" s="100"/>
      <c r="K74" s="100"/>
      <c r="L74" s="100"/>
      <c r="M74" s="100"/>
      <c r="N74" s="100"/>
      <c r="O74" s="100"/>
      <c r="P74" s="100"/>
      <c r="Q74" s="100"/>
      <c r="R74" s="100"/>
      <c r="S74" s="113"/>
    </row>
    <row r="75" spans="1:19" ht="16.5">
      <c r="A75" s="735"/>
      <c r="B75" s="117" t="s">
        <v>389</v>
      </c>
      <c r="C75" s="100"/>
      <c r="D75" s="100"/>
      <c r="E75" s="100"/>
      <c r="F75" s="100"/>
      <c r="G75" s="100"/>
      <c r="H75" s="100"/>
      <c r="I75" s="100"/>
      <c r="J75" s="100"/>
      <c r="K75" s="100"/>
      <c r="L75" s="100"/>
      <c r="M75" s="100"/>
      <c r="N75" s="100"/>
      <c r="O75" s="100"/>
      <c r="P75" s="100"/>
      <c r="Q75" s="100"/>
      <c r="R75" s="100"/>
      <c r="S75" s="113"/>
    </row>
    <row r="76" spans="1:19" ht="15.75">
      <c r="A76" s="735"/>
      <c r="B76" s="100"/>
      <c r="C76" s="100"/>
      <c r="D76" s="100"/>
      <c r="E76" s="100"/>
      <c r="F76" s="100"/>
      <c r="G76" s="100"/>
      <c r="H76" s="100"/>
      <c r="I76" s="100"/>
      <c r="J76" s="100"/>
      <c r="K76" s="100"/>
      <c r="L76" s="100"/>
      <c r="M76" s="100"/>
      <c r="N76" s="100"/>
      <c r="O76" s="100"/>
      <c r="P76" s="100"/>
      <c r="Q76" s="100"/>
      <c r="R76" s="100"/>
      <c r="S76" s="113"/>
    </row>
    <row r="77" spans="1:19" ht="15.75">
      <c r="A77" s="735"/>
      <c r="B77" s="100"/>
      <c r="C77" s="100"/>
      <c r="D77" s="100"/>
      <c r="E77" s="100"/>
      <c r="F77" s="100"/>
      <c r="G77" s="100"/>
      <c r="H77" s="100"/>
      <c r="I77" s="100"/>
      <c r="J77" s="100"/>
      <c r="K77" s="100"/>
      <c r="L77" s="100"/>
      <c r="M77" s="100"/>
      <c r="N77" s="100"/>
      <c r="O77" s="100"/>
      <c r="P77" s="100"/>
      <c r="Q77" s="100"/>
      <c r="R77" s="100"/>
      <c r="S77" s="113"/>
    </row>
    <row r="78" spans="1:19" ht="18.75">
      <c r="A78" s="735"/>
      <c r="B78" s="100"/>
      <c r="C78" s="100"/>
      <c r="D78" s="100"/>
      <c r="E78" s="100"/>
      <c r="F78" s="100"/>
      <c r="G78" s="100"/>
      <c r="H78" s="100"/>
      <c r="I78" s="100"/>
      <c r="J78" s="118" t="s">
        <v>390</v>
      </c>
      <c r="K78" s="742" t="s">
        <v>387</v>
      </c>
      <c r="L78" s="742"/>
      <c r="M78" s="742"/>
      <c r="N78" s="742"/>
      <c r="O78" s="742"/>
      <c r="P78" s="742"/>
      <c r="Q78" s="742"/>
      <c r="R78" s="100"/>
      <c r="S78" s="113"/>
    </row>
    <row r="79" spans="1:19" ht="15.75">
      <c r="A79" s="735"/>
      <c r="B79" s="100"/>
      <c r="C79" s="100"/>
      <c r="D79" s="100"/>
      <c r="E79" s="100"/>
      <c r="F79" s="100"/>
      <c r="G79" s="100"/>
      <c r="H79" s="100"/>
      <c r="I79" s="100"/>
      <c r="J79" s="100"/>
      <c r="K79" s="100"/>
      <c r="L79" s="100"/>
      <c r="M79" s="100"/>
      <c r="N79" s="100"/>
      <c r="O79" s="100"/>
      <c r="P79" s="100"/>
      <c r="Q79" s="100"/>
      <c r="R79" s="100"/>
      <c r="S79" s="113"/>
    </row>
    <row r="80" spans="1:19" ht="15.75">
      <c r="A80" s="735"/>
      <c r="B80" s="100" t="s">
        <v>391</v>
      </c>
      <c r="C80" s="100"/>
      <c r="D80" s="100"/>
      <c r="E80" s="100"/>
      <c r="F80" s="100"/>
      <c r="G80" s="100"/>
      <c r="H80" s="100"/>
      <c r="I80" s="100"/>
      <c r="J80" s="100"/>
      <c r="K80" s="100"/>
      <c r="L80" s="100"/>
      <c r="M80" s="100"/>
      <c r="N80" s="100"/>
      <c r="O80" s="100"/>
      <c r="P80" s="100"/>
      <c r="Q80" s="100"/>
      <c r="R80" s="100"/>
      <c r="S80" s="113"/>
    </row>
    <row r="81" spans="1:19" ht="15.75">
      <c r="A81" s="735"/>
      <c r="B81" s="100"/>
      <c r="C81" s="100"/>
      <c r="D81" s="100"/>
      <c r="E81" s="104" t="s">
        <v>392</v>
      </c>
      <c r="F81" s="104"/>
      <c r="G81" s="104"/>
      <c r="H81" s="100"/>
      <c r="I81" s="119"/>
      <c r="J81" s="100"/>
      <c r="K81" s="100"/>
      <c r="L81" s="104"/>
      <c r="M81" s="104"/>
      <c r="N81" s="104"/>
      <c r="O81" s="104"/>
      <c r="P81" s="100"/>
      <c r="Q81" s="100"/>
      <c r="R81" s="100"/>
      <c r="S81" s="113"/>
    </row>
    <row r="82" spans="1:19" ht="15.75">
      <c r="A82" s="735"/>
      <c r="B82" s="120"/>
      <c r="C82" s="120"/>
      <c r="D82" s="120"/>
      <c r="E82" s="120"/>
      <c r="F82" s="120"/>
      <c r="G82" s="120"/>
      <c r="H82" s="120"/>
      <c r="I82" s="120"/>
      <c r="J82" s="120"/>
      <c r="K82" s="120"/>
      <c r="L82" s="120"/>
      <c r="M82" s="120"/>
      <c r="N82" s="120"/>
      <c r="O82" s="100"/>
      <c r="P82" s="100"/>
      <c r="Q82" s="100"/>
      <c r="R82" s="100"/>
      <c r="S82" s="113"/>
    </row>
    <row r="83" spans="1:19" ht="15.75">
      <c r="A83" s="735"/>
      <c r="B83" s="120"/>
      <c r="C83" s="120"/>
      <c r="D83" s="120"/>
      <c r="E83" s="120"/>
      <c r="F83" s="120"/>
      <c r="G83" s="120"/>
      <c r="H83" s="120"/>
      <c r="I83" s="120"/>
      <c r="J83" s="120"/>
      <c r="K83" s="120"/>
      <c r="L83" s="120"/>
      <c r="M83" s="120"/>
      <c r="N83" s="120"/>
      <c r="O83" s="100"/>
      <c r="P83" s="100"/>
      <c r="Q83" s="100"/>
      <c r="R83" s="100"/>
      <c r="S83" s="113"/>
    </row>
    <row r="84" spans="1:19" ht="15.75">
      <c r="A84" s="735"/>
      <c r="B84" s="120"/>
      <c r="C84" s="120"/>
      <c r="D84" s="120"/>
      <c r="E84" s="120"/>
      <c r="F84" s="120"/>
      <c r="G84" s="120"/>
      <c r="H84" s="120"/>
      <c r="I84" s="120"/>
      <c r="J84" s="120"/>
      <c r="K84" s="120"/>
      <c r="L84" s="120"/>
      <c r="M84" s="120"/>
      <c r="N84" s="120"/>
      <c r="O84" s="100"/>
      <c r="P84" s="100"/>
      <c r="Q84" s="100"/>
      <c r="R84" s="100"/>
      <c r="S84" s="113"/>
    </row>
    <row r="85" spans="1:19" ht="15.75">
      <c r="A85" s="735"/>
      <c r="B85" s="120"/>
      <c r="C85" s="120"/>
      <c r="D85" s="120"/>
      <c r="E85" s="120"/>
      <c r="F85" s="120"/>
      <c r="G85" s="120"/>
      <c r="H85" s="120"/>
      <c r="I85" s="120"/>
      <c r="J85" s="120"/>
      <c r="K85" s="120"/>
      <c r="L85" s="120"/>
      <c r="M85" s="120"/>
      <c r="N85" s="120"/>
      <c r="O85" s="100"/>
      <c r="P85" s="100"/>
      <c r="Q85" s="100"/>
      <c r="R85" s="100"/>
      <c r="S85" s="113"/>
    </row>
    <row r="86" spans="1:19" ht="15.75">
      <c r="A86" s="735"/>
      <c r="B86" s="100"/>
      <c r="C86" s="120"/>
      <c r="D86" s="120"/>
      <c r="E86" s="120"/>
      <c r="F86" s="120"/>
      <c r="G86" s="120"/>
      <c r="H86" s="120"/>
      <c r="I86" s="120"/>
      <c r="J86" s="120"/>
      <c r="K86" s="120"/>
      <c r="L86" s="120"/>
      <c r="M86" s="120"/>
      <c r="N86" s="120"/>
      <c r="O86" s="100"/>
      <c r="P86" s="100"/>
      <c r="Q86" s="100"/>
      <c r="R86" s="100"/>
      <c r="S86" s="113"/>
    </row>
    <row r="87" spans="1:19" ht="15.75">
      <c r="A87" s="735"/>
      <c r="B87" s="120"/>
      <c r="C87" s="120"/>
      <c r="D87" s="120"/>
      <c r="E87" s="120"/>
      <c r="F87" s="120"/>
      <c r="G87" s="120"/>
      <c r="H87" s="120"/>
      <c r="I87" s="120"/>
      <c r="J87" s="120"/>
      <c r="K87" s="120"/>
      <c r="L87" s="120"/>
      <c r="M87" s="120"/>
      <c r="N87" s="120"/>
      <c r="O87" s="100"/>
      <c r="P87" s="100"/>
      <c r="Q87" s="100"/>
      <c r="R87" s="100"/>
      <c r="S87" s="113"/>
    </row>
    <row r="88" spans="1:19" ht="15.75">
      <c r="A88" s="735"/>
      <c r="B88" s="723"/>
      <c r="C88" s="723"/>
      <c r="D88" s="723"/>
      <c r="E88" s="723"/>
      <c r="F88" s="723"/>
      <c r="G88" s="723"/>
      <c r="H88" s="723"/>
      <c r="I88" s="723"/>
      <c r="J88" s="723"/>
      <c r="K88" s="723"/>
      <c r="L88" s="723"/>
      <c r="M88" s="723"/>
      <c r="N88" s="723"/>
      <c r="O88" s="723"/>
      <c r="P88" s="723"/>
      <c r="Q88" s="100"/>
      <c r="R88" s="100"/>
      <c r="S88" s="113"/>
    </row>
    <row r="89" spans="1:19" ht="15.75">
      <c r="A89" s="735"/>
      <c r="B89" s="100"/>
      <c r="C89" s="100"/>
      <c r="D89" s="100"/>
      <c r="E89" s="100"/>
      <c r="F89" s="100"/>
      <c r="G89" s="100"/>
      <c r="H89" s="100"/>
      <c r="I89" s="100"/>
      <c r="J89" s="100"/>
      <c r="K89" s="100"/>
      <c r="L89" s="100"/>
      <c r="M89" s="100"/>
      <c r="N89" s="100"/>
      <c r="O89" s="100"/>
      <c r="P89" s="100"/>
      <c r="Q89" s="100"/>
      <c r="R89" s="100"/>
      <c r="S89" s="113"/>
    </row>
    <row r="90" spans="1:19" ht="15.75">
      <c r="A90" s="735"/>
      <c r="B90" s="100"/>
      <c r="C90" s="100"/>
      <c r="D90" s="100"/>
      <c r="E90" s="100"/>
      <c r="F90" s="100"/>
      <c r="G90" s="100"/>
      <c r="H90" s="100"/>
      <c r="I90" s="100"/>
      <c r="J90" s="100"/>
      <c r="K90" s="100"/>
      <c r="L90" s="100"/>
      <c r="M90" s="100"/>
      <c r="N90" s="100"/>
      <c r="O90" s="100"/>
      <c r="P90" s="100"/>
      <c r="Q90" s="100"/>
      <c r="R90" s="100"/>
      <c r="S90" s="113"/>
    </row>
    <row r="91" spans="1:19" ht="15.75">
      <c r="A91" s="756"/>
      <c r="B91" s="100"/>
      <c r="C91" s="100"/>
      <c r="D91" s="100"/>
      <c r="E91" s="100"/>
      <c r="F91" s="100"/>
      <c r="G91" s="100"/>
      <c r="H91" s="100"/>
      <c r="I91" s="100"/>
      <c r="J91" s="100"/>
      <c r="K91" s="100"/>
      <c r="L91" s="100"/>
      <c r="M91" s="100"/>
      <c r="N91" s="100"/>
      <c r="O91" s="100"/>
      <c r="P91" s="100"/>
      <c r="Q91" s="100"/>
      <c r="R91" s="100"/>
      <c r="S91" s="113"/>
    </row>
    <row r="92" spans="1:19" ht="15.75">
      <c r="A92" s="757"/>
      <c r="B92" s="100"/>
      <c r="C92" s="100"/>
      <c r="D92" s="100"/>
      <c r="E92" s="100"/>
      <c r="F92" s="100"/>
      <c r="G92" s="100"/>
      <c r="H92" s="100"/>
      <c r="I92" s="100"/>
      <c r="J92" s="100"/>
      <c r="K92" s="100"/>
      <c r="L92" s="100"/>
      <c r="M92" s="100"/>
      <c r="N92" s="100"/>
      <c r="O92" s="100"/>
      <c r="P92" s="100"/>
      <c r="Q92" s="100"/>
      <c r="R92" s="100"/>
      <c r="S92" s="113"/>
    </row>
    <row r="93" spans="1:19" ht="15.75">
      <c r="A93" s="757"/>
      <c r="B93" s="100"/>
      <c r="C93" s="100"/>
      <c r="D93" s="100"/>
      <c r="E93" s="100"/>
      <c r="F93" s="100"/>
      <c r="G93" s="100"/>
      <c r="H93" s="100"/>
      <c r="I93" s="100"/>
      <c r="J93" s="100"/>
      <c r="K93" s="758" t="s">
        <v>390</v>
      </c>
      <c r="L93" s="758"/>
      <c r="M93" s="758"/>
      <c r="N93" s="758"/>
      <c r="O93" s="758"/>
      <c r="P93" s="758"/>
      <c r="Q93" s="758"/>
      <c r="R93" s="100"/>
      <c r="S93" s="113"/>
    </row>
    <row r="94" spans="1:19" ht="15.75">
      <c r="A94" s="757"/>
      <c r="B94" s="121" t="s">
        <v>393</v>
      </c>
      <c r="C94" s="121"/>
      <c r="D94" s="121"/>
      <c r="E94" s="121"/>
      <c r="F94" s="121"/>
      <c r="G94" s="121"/>
      <c r="H94" s="121"/>
      <c r="I94" s="121"/>
      <c r="J94" s="121"/>
      <c r="K94" s="121"/>
      <c r="L94" s="121"/>
      <c r="M94" s="121"/>
      <c r="N94" s="121"/>
      <c r="O94" s="121"/>
      <c r="P94" s="121"/>
      <c r="Q94" s="122"/>
      <c r="R94" s="122"/>
      <c r="S94" s="113"/>
    </row>
    <row r="95" spans="1:19" ht="15.75">
      <c r="A95" s="757"/>
      <c r="B95" s="100" t="s">
        <v>394</v>
      </c>
      <c r="C95" s="100"/>
      <c r="D95" s="100"/>
      <c r="E95" s="100"/>
      <c r="F95" s="100"/>
      <c r="G95" s="100"/>
      <c r="H95" s="100"/>
      <c r="I95" s="100"/>
      <c r="J95" s="100"/>
      <c r="K95" s="100"/>
      <c r="L95" s="100"/>
      <c r="M95" s="100"/>
      <c r="N95" s="100"/>
      <c r="O95" s="100"/>
      <c r="P95" s="100"/>
      <c r="Q95" s="100"/>
      <c r="R95" s="100"/>
      <c r="S95" s="113"/>
    </row>
    <row r="96" spans="1:19" ht="15.75">
      <c r="A96" s="757"/>
      <c r="B96" s="100"/>
      <c r="C96" s="100"/>
      <c r="D96" s="100"/>
      <c r="E96" s="100"/>
      <c r="F96" s="100"/>
      <c r="G96" s="100"/>
      <c r="H96" s="100"/>
      <c r="I96" s="100"/>
      <c r="J96" s="100"/>
      <c r="K96" s="100"/>
      <c r="L96" s="100"/>
      <c r="M96" s="100"/>
      <c r="N96" s="100"/>
      <c r="O96" s="100"/>
      <c r="P96" s="100"/>
      <c r="Q96" s="100"/>
      <c r="R96" s="100"/>
      <c r="S96" s="113"/>
    </row>
    <row r="97" spans="1:19" ht="15.75">
      <c r="A97" s="757"/>
      <c r="B97" s="100"/>
      <c r="C97" s="100"/>
      <c r="D97" s="100"/>
      <c r="E97" s="100"/>
      <c r="F97" s="100"/>
      <c r="G97" s="100"/>
      <c r="H97" s="100"/>
      <c r="I97" s="100"/>
      <c r="J97" s="100"/>
      <c r="K97" s="100"/>
      <c r="L97" s="100"/>
      <c r="M97" s="100"/>
      <c r="N97" s="100"/>
      <c r="O97" s="100"/>
      <c r="P97" s="100"/>
      <c r="Q97" s="100"/>
      <c r="R97" s="100"/>
      <c r="S97" s="113"/>
    </row>
    <row r="98" spans="1:19" ht="15.75">
      <c r="A98" s="757"/>
      <c r="B98" s="100"/>
      <c r="C98" s="100"/>
      <c r="D98" s="100"/>
      <c r="E98" s="100"/>
      <c r="F98" s="100"/>
      <c r="G98" s="100"/>
      <c r="H98" s="100"/>
      <c r="I98" s="100"/>
      <c r="J98" s="100"/>
      <c r="K98" s="100"/>
      <c r="L98" s="100"/>
      <c r="M98" s="100"/>
      <c r="N98" s="100"/>
      <c r="O98" s="100"/>
      <c r="P98" s="100"/>
      <c r="Q98" s="100"/>
      <c r="R98" s="100"/>
      <c r="S98" s="113"/>
    </row>
    <row r="99" spans="1:19" ht="15.75">
      <c r="A99" s="757"/>
      <c r="B99" s="100"/>
      <c r="C99" s="100"/>
      <c r="D99" s="100"/>
      <c r="E99" s="100"/>
      <c r="F99" s="100"/>
      <c r="G99" s="100"/>
      <c r="H99" s="100"/>
      <c r="I99" s="100"/>
      <c r="J99" s="100"/>
      <c r="K99" s="100"/>
      <c r="L99" s="100"/>
      <c r="M99" s="100"/>
      <c r="N99" s="100"/>
      <c r="O99" s="100"/>
      <c r="P99" s="100"/>
      <c r="Q99" s="100"/>
      <c r="R99" s="100"/>
      <c r="S99" s="113"/>
    </row>
    <row r="100" spans="1:19" ht="15.75">
      <c r="A100" s="757"/>
      <c r="B100" s="100"/>
      <c r="C100" s="100"/>
      <c r="D100" s="100"/>
      <c r="E100" s="100"/>
      <c r="F100" s="100"/>
      <c r="G100" s="100"/>
      <c r="H100" s="100"/>
      <c r="I100" s="100"/>
      <c r="J100" s="100"/>
      <c r="K100" s="100"/>
      <c r="L100" s="100"/>
      <c r="M100" s="100"/>
      <c r="N100" s="100"/>
      <c r="O100" s="100"/>
      <c r="P100" s="100"/>
      <c r="Q100" s="100"/>
      <c r="R100" s="100"/>
      <c r="S100" s="113"/>
    </row>
    <row r="101" spans="1:19" ht="15.75">
      <c r="A101" s="757"/>
      <c r="B101" s="100"/>
      <c r="C101" s="100"/>
      <c r="D101" s="100"/>
      <c r="E101" s="100"/>
      <c r="F101" s="100"/>
      <c r="G101" s="100"/>
      <c r="H101" s="100"/>
      <c r="I101" s="100"/>
      <c r="J101" s="100"/>
      <c r="K101" s="100"/>
      <c r="L101" s="100"/>
      <c r="M101" s="100"/>
      <c r="N101" s="100"/>
      <c r="O101" s="100"/>
      <c r="P101" s="100"/>
      <c r="Q101" s="100"/>
      <c r="R101" s="100"/>
      <c r="S101" s="113"/>
    </row>
    <row r="102" spans="1:19" ht="15.75">
      <c r="A102" s="95"/>
      <c r="B102" s="100"/>
      <c r="C102" s="100"/>
      <c r="D102" s="100"/>
      <c r="E102" s="100"/>
      <c r="F102" s="100"/>
      <c r="G102" s="100"/>
      <c r="H102" s="100"/>
      <c r="I102" s="100"/>
      <c r="J102" s="123"/>
      <c r="K102" s="100"/>
      <c r="L102" s="100"/>
      <c r="M102" s="100"/>
      <c r="N102" s="100"/>
      <c r="O102" s="100"/>
      <c r="P102" s="100"/>
      <c r="Q102" s="100"/>
      <c r="R102" s="100"/>
      <c r="S102" s="113"/>
    </row>
    <row r="103" spans="1:19" ht="15.75">
      <c r="A103" s="95"/>
      <c r="B103" s="100"/>
      <c r="C103" s="100"/>
      <c r="D103" s="100"/>
      <c r="E103" s="100"/>
      <c r="F103" s="100"/>
      <c r="G103" s="100"/>
      <c r="H103" s="100"/>
      <c r="I103" s="100"/>
      <c r="J103" s="100"/>
      <c r="K103" s="100"/>
      <c r="L103" s="100"/>
      <c r="M103" s="100"/>
      <c r="N103" s="100"/>
      <c r="O103" s="100"/>
      <c r="P103" s="100"/>
      <c r="Q103" s="100"/>
      <c r="R103" s="100"/>
      <c r="S103" s="113"/>
    </row>
    <row r="104" spans="1:19" ht="15.75">
      <c r="A104" s="95"/>
      <c r="B104" s="100"/>
      <c r="C104" s="100"/>
      <c r="D104" s="100"/>
      <c r="E104" s="100"/>
      <c r="F104" s="100"/>
      <c r="G104" s="100"/>
      <c r="H104" s="100"/>
      <c r="I104" s="100"/>
      <c r="J104" s="100"/>
      <c r="K104" s="100"/>
      <c r="L104" s="100"/>
      <c r="M104" s="100"/>
      <c r="N104" s="100"/>
      <c r="O104" s="100"/>
      <c r="P104" s="100"/>
      <c r="Q104" s="100"/>
      <c r="R104" s="100"/>
      <c r="S104" s="113"/>
    </row>
    <row r="105" spans="1:19" ht="15.75">
      <c r="A105" s="95"/>
      <c r="B105" s="100"/>
      <c r="C105" s="100"/>
      <c r="D105" s="100"/>
      <c r="E105" s="100"/>
      <c r="F105" s="100"/>
      <c r="G105" s="100"/>
      <c r="H105" s="100"/>
      <c r="I105" s="100"/>
      <c r="J105" s="100"/>
      <c r="K105" s="100"/>
      <c r="L105" s="100"/>
      <c r="M105" s="100"/>
      <c r="N105" s="100"/>
      <c r="O105" s="100"/>
      <c r="P105" s="100"/>
      <c r="Q105" s="100"/>
      <c r="R105" s="100"/>
      <c r="S105" s="113"/>
    </row>
    <row r="106" spans="1:19" ht="15.75">
      <c r="A106" s="95"/>
      <c r="B106" s="100"/>
      <c r="C106" s="100"/>
      <c r="D106" s="100"/>
      <c r="E106" s="100"/>
      <c r="F106" s="100"/>
      <c r="G106" s="100"/>
      <c r="H106" s="100"/>
      <c r="I106" s="100"/>
      <c r="J106" s="100"/>
      <c r="K106" s="100"/>
      <c r="L106" s="100"/>
      <c r="M106" s="100"/>
      <c r="N106" s="100"/>
      <c r="O106" s="100"/>
      <c r="P106" s="100"/>
      <c r="Q106" s="100"/>
      <c r="R106" s="100"/>
      <c r="S106" s="113"/>
    </row>
    <row r="107" spans="1:19" ht="15.75">
      <c r="A107" s="95"/>
      <c r="B107" s="759"/>
      <c r="C107" s="759"/>
      <c r="D107" s="759"/>
      <c r="E107" s="759"/>
      <c r="F107" s="759"/>
      <c r="G107" s="759"/>
      <c r="H107" s="759"/>
      <c r="I107" s="759"/>
      <c r="J107" s="759"/>
      <c r="K107" s="759"/>
      <c r="L107" s="759"/>
      <c r="M107" s="759"/>
      <c r="N107" s="759"/>
      <c r="O107" s="759"/>
      <c r="P107" s="124"/>
      <c r="Q107" s="124"/>
      <c r="R107" s="100"/>
      <c r="S107" s="113"/>
    </row>
    <row r="108" spans="1:19" ht="15.75">
      <c r="A108" s="95"/>
      <c r="B108" s="759"/>
      <c r="C108" s="761"/>
      <c r="D108" s="761"/>
      <c r="E108" s="761"/>
      <c r="F108" s="761"/>
      <c r="G108" s="761"/>
      <c r="H108" s="761"/>
      <c r="I108" s="761"/>
      <c r="J108" s="761"/>
      <c r="K108" s="761"/>
      <c r="L108" s="761"/>
      <c r="M108" s="761"/>
      <c r="N108" s="761"/>
      <c r="O108" s="761"/>
      <c r="P108" s="761"/>
      <c r="Q108" s="124"/>
      <c r="R108" s="100"/>
      <c r="S108" s="113"/>
    </row>
    <row r="109" spans="1:19" ht="15.75">
      <c r="A109" s="95"/>
      <c r="B109" s="759"/>
      <c r="C109" s="761"/>
      <c r="D109" s="761"/>
      <c r="E109" s="752"/>
      <c r="F109" s="752"/>
      <c r="G109" s="752"/>
      <c r="H109" s="752"/>
      <c r="I109" s="752"/>
      <c r="J109" s="752"/>
      <c r="K109" s="752"/>
      <c r="L109" s="752"/>
      <c r="M109" s="752"/>
      <c r="N109" s="752"/>
      <c r="O109" s="752"/>
      <c r="P109" s="752"/>
      <c r="Q109" s="125"/>
      <c r="R109" s="100"/>
      <c r="S109" s="113"/>
    </row>
    <row r="110" spans="1:19" ht="15.75">
      <c r="A110" s="95"/>
      <c r="B110" s="759"/>
      <c r="C110" s="761"/>
      <c r="D110" s="761"/>
      <c r="E110" s="752"/>
      <c r="F110" s="753"/>
      <c r="G110" s="753"/>
      <c r="H110" s="753"/>
      <c r="I110" s="753"/>
      <c r="J110" s="752"/>
      <c r="K110" s="752"/>
      <c r="L110" s="753"/>
      <c r="M110" s="753"/>
      <c r="N110" s="753"/>
      <c r="O110" s="753"/>
      <c r="P110" s="752"/>
      <c r="Q110" s="125"/>
      <c r="R110" s="100"/>
      <c r="S110" s="113"/>
    </row>
    <row r="111" spans="1:19" ht="15.75">
      <c r="A111" s="95"/>
      <c r="B111" s="759"/>
      <c r="C111" s="761"/>
      <c r="D111" s="761"/>
      <c r="E111" s="752"/>
      <c r="F111" s="753"/>
      <c r="G111" s="753"/>
      <c r="H111" s="753"/>
      <c r="I111" s="753"/>
      <c r="J111" s="752"/>
      <c r="K111" s="752"/>
      <c r="L111" s="753"/>
      <c r="M111" s="753"/>
      <c r="N111" s="753"/>
      <c r="O111" s="753"/>
      <c r="P111" s="752"/>
      <c r="Q111" s="124"/>
      <c r="R111" s="100"/>
      <c r="S111" s="113"/>
    </row>
    <row r="112" spans="1:19" ht="15.75">
      <c r="A112" s="126"/>
      <c r="B112" s="760"/>
      <c r="C112" s="762"/>
      <c r="D112" s="762"/>
      <c r="E112" s="755"/>
      <c r="F112" s="754"/>
      <c r="G112" s="754"/>
      <c r="H112" s="754"/>
      <c r="I112" s="754"/>
      <c r="J112" s="755"/>
      <c r="K112" s="755"/>
      <c r="L112" s="754"/>
      <c r="M112" s="754"/>
      <c r="N112" s="754"/>
      <c r="O112" s="754"/>
      <c r="P112" s="755"/>
      <c r="Q112" s="127"/>
      <c r="R112" s="102"/>
      <c r="S112" s="128"/>
    </row>
  </sheetData>
  <sheetProtection password="DE3D" sheet="1"/>
  <mergeCells count="72">
    <mergeCell ref="A91:A101"/>
    <mergeCell ref="K93:Q93"/>
    <mergeCell ref="B107:O107"/>
    <mergeCell ref="B108:B112"/>
    <mergeCell ref="C108:D112"/>
    <mergeCell ref="E108:J108"/>
    <mergeCell ref="K108:P108"/>
    <mergeCell ref="E109:E112"/>
    <mergeCell ref="F109:F112"/>
    <mergeCell ref="G109:G112"/>
    <mergeCell ref="N109:N112"/>
    <mergeCell ref="O109:O112"/>
    <mergeCell ref="P109:P112"/>
    <mergeCell ref="H109:H112"/>
    <mergeCell ref="I109:I112"/>
    <mergeCell ref="J109:J112"/>
    <mergeCell ref="K109:K112"/>
    <mergeCell ref="L109:L112"/>
    <mergeCell ref="M109:M112"/>
    <mergeCell ref="H40:K40"/>
    <mergeCell ref="H41:K41"/>
    <mergeCell ref="H42:K42"/>
    <mergeCell ref="B44:N45"/>
    <mergeCell ref="L52:S52"/>
    <mergeCell ref="Q44:S44"/>
    <mergeCell ref="J56:S56"/>
    <mergeCell ref="A61:R61"/>
    <mergeCell ref="A63:A90"/>
    <mergeCell ref="J64:O64"/>
    <mergeCell ref="K68:Q68"/>
    <mergeCell ref="B70:C70"/>
    <mergeCell ref="D70:F70"/>
    <mergeCell ref="G70:S71"/>
    <mergeCell ref="K78:Q78"/>
    <mergeCell ref="B30:D30"/>
    <mergeCell ref="H32:K32"/>
    <mergeCell ref="H33:K33"/>
    <mergeCell ref="B88:P88"/>
    <mergeCell ref="H37:K37"/>
    <mergeCell ref="O37:P37"/>
    <mergeCell ref="H38:K38"/>
    <mergeCell ref="H39:K39"/>
    <mergeCell ref="O39:P39"/>
    <mergeCell ref="L54:S54"/>
    <mergeCell ref="H34:K34"/>
    <mergeCell ref="B20:C20"/>
    <mergeCell ref="H18:M18"/>
    <mergeCell ref="B10:C11"/>
    <mergeCell ref="H35:K35"/>
    <mergeCell ref="H36:K36"/>
    <mergeCell ref="B24:C24"/>
    <mergeCell ref="H25:M25"/>
    <mergeCell ref="B27:D27"/>
    <mergeCell ref="B29:E29"/>
    <mergeCell ref="D8:I9"/>
    <mergeCell ref="O8:P9"/>
    <mergeCell ref="Q8:S9"/>
    <mergeCell ref="H21:L22"/>
    <mergeCell ref="D10:I11"/>
    <mergeCell ref="B8:C9"/>
    <mergeCell ref="O10:P11"/>
    <mergeCell ref="Q10:S11"/>
    <mergeCell ref="B7:C7"/>
    <mergeCell ref="F5:I5"/>
    <mergeCell ref="D7:I7"/>
    <mergeCell ref="P7:S7"/>
    <mergeCell ref="A1:S1"/>
    <mergeCell ref="B2:S2"/>
    <mergeCell ref="B3:S3"/>
    <mergeCell ref="L4:M4"/>
    <mergeCell ref="Q5:S5"/>
    <mergeCell ref="A2:A45"/>
  </mergeCells>
  <printOptions/>
  <pageMargins left="0.354330708661417" right="0.196850393700787" top="0.31" bottom="0.24" header="0.2" footer="0.196850393700787"/>
  <pageSetup fitToHeight="0" horizontalDpi="600" verticalDpi="600" orientation="portrait" paperSize="9" scale="90" r:id="rId2"/>
  <rowBreaks count="1" manualBreakCount="1">
    <brk id="59" max="255" man="1"/>
  </rowBreaks>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I41"/>
  <sheetViews>
    <sheetView showGridLines="0" showRowColHeaders="0" zoomScalePageLayoutView="0" workbookViewId="0" topLeftCell="A1">
      <selection activeCell="J30" sqref="J30"/>
    </sheetView>
  </sheetViews>
  <sheetFormatPr defaultColWidth="9.140625" defaultRowHeight="15"/>
  <cols>
    <col min="2" max="2" width="17.28125" style="0" customWidth="1"/>
    <col min="3" max="3" width="12.421875" style="0" customWidth="1"/>
    <col min="4" max="4" width="9.8515625" style="0" customWidth="1"/>
    <col min="5" max="5" width="10.7109375" style="0" customWidth="1"/>
    <col min="6" max="6" width="6.140625" style="0" customWidth="1"/>
    <col min="7" max="7" width="4.8515625" style="0" customWidth="1"/>
    <col min="8" max="8" width="4.57421875" style="0" customWidth="1"/>
    <col min="9" max="9" width="14.28125" style="0" customWidth="1"/>
  </cols>
  <sheetData>
    <row r="1" spans="1:9" ht="24.75" customHeight="1">
      <c r="A1" s="764" t="s">
        <v>395</v>
      </c>
      <c r="B1" s="764"/>
      <c r="C1" s="764"/>
      <c r="D1" s="764"/>
      <c r="E1" s="764"/>
      <c r="F1" s="764"/>
      <c r="G1" s="764"/>
      <c r="H1" s="764"/>
      <c r="I1" s="764"/>
    </row>
    <row r="2" spans="1:9" ht="15">
      <c r="A2" s="765" t="s">
        <v>396</v>
      </c>
      <c r="B2" s="765"/>
      <c r="C2" s="765"/>
      <c r="D2" s="765"/>
      <c r="E2" s="765"/>
      <c r="F2" s="765"/>
      <c r="G2" s="765"/>
      <c r="H2" s="765"/>
      <c r="I2" s="765"/>
    </row>
    <row r="3" spans="1:9" ht="15">
      <c r="A3" s="765" t="s">
        <v>397</v>
      </c>
      <c r="B3" s="765"/>
      <c r="C3" s="765"/>
      <c r="D3" s="765"/>
      <c r="E3" s="765"/>
      <c r="F3" s="765"/>
      <c r="G3" s="765"/>
      <c r="H3" s="765"/>
      <c r="I3" s="765"/>
    </row>
    <row r="4" spans="1:9" ht="15">
      <c r="A4" s="129"/>
      <c r="B4" s="129"/>
      <c r="C4" s="129"/>
      <c r="D4" s="129"/>
      <c r="E4" s="129"/>
      <c r="F4" s="129"/>
      <c r="G4" s="129"/>
      <c r="H4" s="129"/>
      <c r="I4" s="129"/>
    </row>
    <row r="5" spans="1:9" ht="15">
      <c r="A5" s="130" t="str">
        <f>CONCATENATE("DDO Code:           ",FORM47!D7)</f>
        <v>DDO Code:           1101-0308-109</v>
      </c>
      <c r="B5" s="131"/>
      <c r="C5" s="130"/>
      <c r="D5" s="130"/>
      <c r="E5" s="130" t="s">
        <v>398</v>
      </c>
      <c r="F5" s="130"/>
      <c r="G5" s="130"/>
      <c r="H5" s="766" t="str">
        <f>FORM47!F5</f>
        <v>1101</v>
      </c>
      <c r="I5" s="766"/>
    </row>
    <row r="6" spans="1:9" ht="15">
      <c r="A6" s="130" t="str">
        <f>CONCATENATE("DDO Designation: ",FORM47!D8)</f>
        <v>DDO Designation:  Headmaster </v>
      </c>
      <c r="B6" s="130"/>
      <c r="C6" s="130"/>
      <c r="D6" s="130"/>
      <c r="E6" s="130" t="s">
        <v>399</v>
      </c>
      <c r="F6" s="130"/>
      <c r="G6" s="130"/>
      <c r="H6" s="131" t="str">
        <f>Data!J22</f>
        <v>DTO, Chittoor</v>
      </c>
      <c r="I6" s="131"/>
    </row>
    <row r="7" spans="1:9" ht="15">
      <c r="A7" s="132"/>
      <c r="B7" s="132"/>
      <c r="C7" s="132"/>
      <c r="D7" s="132"/>
      <c r="E7" s="132"/>
      <c r="F7" s="132"/>
      <c r="G7" s="132"/>
      <c r="H7" s="132"/>
      <c r="I7" s="132"/>
    </row>
    <row r="8" spans="1:9" ht="15">
      <c r="A8" s="130" t="s">
        <v>400</v>
      </c>
      <c r="B8" s="130"/>
      <c r="C8" s="132"/>
      <c r="D8" s="132"/>
      <c r="E8" s="132"/>
      <c r="F8" s="132"/>
      <c r="G8" s="132"/>
      <c r="H8" s="132"/>
      <c r="I8" s="132"/>
    </row>
    <row r="9" spans="1:9" ht="15">
      <c r="A9" s="130" t="s">
        <v>401</v>
      </c>
      <c r="B9" s="130"/>
      <c r="C9" s="132"/>
      <c r="D9" s="132"/>
      <c r="E9" s="132"/>
      <c r="F9" s="132"/>
      <c r="G9" s="132"/>
      <c r="H9" s="132"/>
      <c r="I9" s="132"/>
    </row>
    <row r="10" spans="1:9" ht="15">
      <c r="A10" s="130" t="str">
        <f>Data!O21</f>
        <v>SBI,Chittoor</v>
      </c>
      <c r="B10" s="130"/>
      <c r="C10" s="132"/>
      <c r="D10" s="132"/>
      <c r="E10" s="132"/>
      <c r="F10" s="132"/>
      <c r="G10" s="132"/>
      <c r="H10" s="132"/>
      <c r="I10" s="132"/>
    </row>
    <row r="11" spans="1:9" ht="15">
      <c r="A11" s="130"/>
      <c r="B11" s="130"/>
      <c r="C11" s="132"/>
      <c r="D11" s="132"/>
      <c r="E11" s="132"/>
      <c r="F11" s="132"/>
      <c r="G11" s="132"/>
      <c r="H11" s="132"/>
      <c r="I11" s="132"/>
    </row>
    <row r="12" spans="1:9" ht="15">
      <c r="A12" s="132"/>
      <c r="B12" s="132"/>
      <c r="C12" s="132"/>
      <c r="D12" s="132"/>
      <c r="E12" s="132"/>
      <c r="F12" s="132"/>
      <c r="G12" s="132"/>
      <c r="H12" s="132"/>
      <c r="I12" s="132"/>
    </row>
    <row r="13" spans="1:9" ht="15">
      <c r="A13" s="132" t="s">
        <v>402</v>
      </c>
      <c r="B13" s="132"/>
      <c r="C13" s="132"/>
      <c r="D13" s="132" t="s">
        <v>403</v>
      </c>
      <c r="E13" s="132"/>
      <c r="F13" s="132"/>
      <c r="G13" s="132"/>
      <c r="H13" s="132"/>
      <c r="I13" s="132"/>
    </row>
    <row r="14" spans="1:9" ht="15">
      <c r="A14" s="133"/>
      <c r="B14" s="133"/>
      <c r="C14" s="133"/>
      <c r="D14" s="133"/>
      <c r="E14" s="133"/>
      <c r="F14" s="133"/>
      <c r="G14" s="133"/>
      <c r="H14" s="133"/>
      <c r="I14" s="133"/>
    </row>
    <row r="15" spans="1:9" ht="15">
      <c r="A15" s="132"/>
      <c r="B15" s="132" t="s">
        <v>404</v>
      </c>
      <c r="C15" s="132" t="str">
        <f ca="1">"______/"&amp;YEAR(NOW())</f>
        <v>______/2015</v>
      </c>
      <c r="D15" s="134"/>
      <c r="E15" s="134"/>
      <c r="F15" s="132" t="s">
        <v>405</v>
      </c>
      <c r="G15" s="767">
        <f ca="1">DATE(YEAR(TODAY()),MONTH(TODAY()),)</f>
        <v>42124</v>
      </c>
      <c r="H15" s="767"/>
      <c r="I15" s="767"/>
    </row>
    <row r="16" spans="1:9" ht="15">
      <c r="A16" s="132" t="s">
        <v>406</v>
      </c>
      <c r="B16" s="135">
        <f>FORM47!H42</f>
        <v>87385</v>
      </c>
      <c r="C16" s="763" t="str">
        <f>FORM47!B44</f>
        <v>Eighty seven Thousand Three Hundred Eighty five Rupees</v>
      </c>
      <c r="D16" s="763"/>
      <c r="E16" s="763"/>
      <c r="F16" s="763"/>
      <c r="G16" s="763"/>
      <c r="H16" s="763"/>
      <c r="I16" s="763"/>
    </row>
    <row r="17" spans="1:9" ht="18">
      <c r="A17" s="136"/>
      <c r="B17" s="132"/>
      <c r="C17" s="763"/>
      <c r="D17" s="763"/>
      <c r="E17" s="763"/>
      <c r="F17" s="763"/>
      <c r="G17" s="763"/>
      <c r="H17" s="763"/>
      <c r="I17" s="763"/>
    </row>
    <row r="18" spans="1:9" ht="15">
      <c r="A18" s="132" t="s">
        <v>702</v>
      </c>
      <c r="B18" s="132"/>
      <c r="C18" s="132"/>
      <c r="D18" s="132"/>
      <c r="E18" s="132"/>
      <c r="F18" s="132" t="s">
        <v>407</v>
      </c>
      <c r="G18" s="132"/>
      <c r="H18" s="132"/>
      <c r="I18" s="132"/>
    </row>
    <row r="19" spans="1:9" ht="15">
      <c r="A19" s="134" t="str">
        <f>appendix!N72</f>
        <v>Z P High School, M.D Mangalam, G D Nellore, Karimnagar</v>
      </c>
      <c r="B19" s="132"/>
      <c r="C19" s="132"/>
      <c r="D19" s="132"/>
      <c r="E19" s="132" t="s">
        <v>408</v>
      </c>
      <c r="F19" s="132"/>
      <c r="G19" s="132"/>
      <c r="H19" s="132"/>
      <c r="I19" s="132"/>
    </row>
    <row r="20" spans="1:9" ht="15">
      <c r="A20" s="132" t="s">
        <v>409</v>
      </c>
      <c r="B20" s="132"/>
      <c r="C20" s="132"/>
      <c r="D20" s="132"/>
      <c r="E20" s="132"/>
      <c r="F20" s="132"/>
      <c r="G20" s="132"/>
      <c r="H20" s="132"/>
      <c r="I20" s="132"/>
    </row>
    <row r="21" spans="1:9" ht="15">
      <c r="A21" s="132" t="s">
        <v>410</v>
      </c>
      <c r="B21" s="132"/>
      <c r="C21" s="132"/>
      <c r="D21" s="132"/>
      <c r="E21" s="132"/>
      <c r="F21" s="132"/>
      <c r="G21" s="132"/>
      <c r="H21" s="132"/>
      <c r="I21" s="132"/>
    </row>
    <row r="22" spans="1:9" ht="15">
      <c r="A22" s="129">
        <v>1</v>
      </c>
      <c r="B22" s="132"/>
      <c r="C22" s="132"/>
      <c r="D22" s="132"/>
      <c r="E22" s="132"/>
      <c r="F22" s="132" t="s">
        <v>411</v>
      </c>
      <c r="G22" s="132"/>
      <c r="H22" s="132"/>
      <c r="I22" s="132"/>
    </row>
    <row r="23" spans="1:9" ht="15">
      <c r="A23" s="129"/>
      <c r="B23" s="132"/>
      <c r="C23" s="132"/>
      <c r="D23" s="132"/>
      <c r="E23" s="132"/>
      <c r="F23" s="132" t="s">
        <v>412</v>
      </c>
      <c r="G23" s="132"/>
      <c r="H23" s="132"/>
      <c r="I23" s="132"/>
    </row>
    <row r="24" spans="1:9" ht="15">
      <c r="A24" s="129">
        <v>2</v>
      </c>
      <c r="B24" s="132"/>
      <c r="C24" s="132"/>
      <c r="D24" s="132"/>
      <c r="E24" s="132"/>
      <c r="F24" s="132"/>
      <c r="G24" s="132"/>
      <c r="H24" s="132"/>
      <c r="I24" s="132"/>
    </row>
    <row r="25" spans="1:9" ht="15">
      <c r="A25" s="132"/>
      <c r="B25" s="132"/>
      <c r="C25" s="132"/>
      <c r="D25" s="132"/>
      <c r="E25" s="132"/>
      <c r="F25" s="132"/>
      <c r="G25" s="132"/>
      <c r="H25" s="132"/>
      <c r="I25" s="132"/>
    </row>
    <row r="26" spans="1:9" ht="15">
      <c r="A26" s="132"/>
      <c r="B26" s="132"/>
      <c r="C26" s="132"/>
      <c r="D26" s="132"/>
      <c r="E26" s="132"/>
      <c r="F26" s="132"/>
      <c r="G26" s="132"/>
      <c r="H26" s="132"/>
      <c r="I26" s="132"/>
    </row>
    <row r="27" spans="1:9" ht="15">
      <c r="A27" s="132"/>
      <c r="B27" s="132"/>
      <c r="C27" s="132"/>
      <c r="D27" s="132"/>
      <c r="E27" s="132"/>
      <c r="F27" s="132"/>
      <c r="G27" s="132"/>
      <c r="H27" s="132"/>
      <c r="I27" s="132"/>
    </row>
    <row r="28" spans="1:9" ht="15">
      <c r="A28" s="132"/>
      <c r="B28" s="132" t="s">
        <v>413</v>
      </c>
      <c r="C28" s="132"/>
      <c r="D28" s="132"/>
      <c r="E28" s="132"/>
      <c r="F28" s="132"/>
      <c r="G28" s="132"/>
      <c r="H28" s="132"/>
      <c r="I28" s="132"/>
    </row>
    <row r="29" spans="1:9" ht="15">
      <c r="A29" s="132"/>
      <c r="B29" s="132"/>
      <c r="C29" s="132"/>
      <c r="D29" s="132"/>
      <c r="E29" s="132"/>
      <c r="F29" s="132"/>
      <c r="G29" s="132"/>
      <c r="H29" s="132"/>
      <c r="I29" s="132"/>
    </row>
    <row r="30" spans="1:9" ht="15">
      <c r="A30" s="132"/>
      <c r="B30" s="132"/>
      <c r="C30" s="132"/>
      <c r="D30" s="132"/>
      <c r="E30" s="132"/>
      <c r="F30" s="132"/>
      <c r="G30" s="132"/>
      <c r="H30" s="132"/>
      <c r="I30" s="132"/>
    </row>
    <row r="31" spans="1:9" ht="15">
      <c r="A31" s="132"/>
      <c r="B31" s="132"/>
      <c r="C31" s="132"/>
      <c r="D31" s="132"/>
      <c r="E31" s="132"/>
      <c r="F31" s="132"/>
      <c r="G31" s="132"/>
      <c r="H31" s="132"/>
      <c r="I31" s="132"/>
    </row>
    <row r="32" spans="1:9" ht="15">
      <c r="A32" s="132"/>
      <c r="B32" s="132"/>
      <c r="C32" s="132"/>
      <c r="D32" s="132"/>
      <c r="E32" s="132"/>
      <c r="F32" s="132"/>
      <c r="G32" s="132"/>
      <c r="H32" s="132"/>
      <c r="I32" s="132"/>
    </row>
    <row r="33" spans="1:9" ht="15">
      <c r="A33" s="132"/>
      <c r="B33" s="132"/>
      <c r="C33" s="132"/>
      <c r="D33" s="132"/>
      <c r="E33" s="132"/>
      <c r="F33" s="132"/>
      <c r="G33" s="132"/>
      <c r="H33" s="132"/>
      <c r="I33" s="132"/>
    </row>
    <row r="34" spans="1:9" ht="15">
      <c r="A34" s="132"/>
      <c r="B34" s="132" t="s">
        <v>411</v>
      </c>
      <c r="C34" s="137"/>
      <c r="D34" s="132"/>
      <c r="E34" s="132"/>
      <c r="F34" s="132"/>
      <c r="G34" s="132"/>
      <c r="H34" s="132"/>
      <c r="I34" s="132"/>
    </row>
    <row r="35" spans="1:9" ht="15">
      <c r="A35" s="132"/>
      <c r="B35" s="138"/>
      <c r="C35" s="138"/>
      <c r="D35" s="132"/>
      <c r="E35" s="132"/>
      <c r="F35" s="132" t="s">
        <v>414</v>
      </c>
      <c r="G35" s="132"/>
      <c r="H35" s="132"/>
      <c r="I35" s="132"/>
    </row>
    <row r="36" spans="1:9" ht="15">
      <c r="A36" s="132"/>
      <c r="B36" s="132"/>
      <c r="C36" s="132"/>
      <c r="D36" s="132"/>
      <c r="E36" s="132"/>
      <c r="F36" s="132" t="s">
        <v>415</v>
      </c>
      <c r="G36" s="132"/>
      <c r="H36" s="132"/>
      <c r="I36" s="132"/>
    </row>
    <row r="37" spans="1:9" ht="15">
      <c r="A37" s="132"/>
      <c r="B37" s="132"/>
      <c r="C37" s="132"/>
      <c r="D37" s="132"/>
      <c r="E37" s="132"/>
      <c r="F37" s="132"/>
      <c r="G37" s="132"/>
      <c r="H37" s="132"/>
      <c r="I37" s="132"/>
    </row>
    <row r="38" spans="1:9" ht="15">
      <c r="A38" s="132"/>
      <c r="B38" s="132"/>
      <c r="C38" s="132"/>
      <c r="D38" s="132"/>
      <c r="E38" s="132"/>
      <c r="F38" s="132"/>
      <c r="G38" s="132"/>
      <c r="H38" s="132"/>
      <c r="I38" s="132"/>
    </row>
    <row r="39" spans="1:9" ht="15">
      <c r="A39" s="132"/>
      <c r="B39" s="132"/>
      <c r="C39" s="132"/>
      <c r="D39" s="132"/>
      <c r="E39" s="132"/>
      <c r="F39" s="132"/>
      <c r="G39" s="132"/>
      <c r="H39" s="132"/>
      <c r="I39" s="132"/>
    </row>
    <row r="40" spans="1:9" ht="15">
      <c r="A40" s="139" t="s">
        <v>703</v>
      </c>
      <c r="B40" s="132"/>
      <c r="C40" s="132"/>
      <c r="D40" s="132"/>
      <c r="E40" s="132"/>
      <c r="F40" s="132"/>
      <c r="G40" s="132"/>
      <c r="H40" s="132"/>
      <c r="I40" s="132"/>
    </row>
    <row r="41" spans="1:9" ht="15">
      <c r="A41" s="132"/>
      <c r="B41" s="132"/>
      <c r="C41" s="132"/>
      <c r="D41" s="132"/>
      <c r="E41" s="132"/>
      <c r="F41" s="132"/>
      <c r="G41" s="132"/>
      <c r="H41" s="132"/>
      <c r="I41" s="132"/>
    </row>
  </sheetData>
  <sheetProtection password="DE3D" sheet="1"/>
  <mergeCells count="6">
    <mergeCell ref="C16:I17"/>
    <mergeCell ref="A1:I1"/>
    <mergeCell ref="A2:I2"/>
    <mergeCell ref="A3:I3"/>
    <mergeCell ref="H5:I5"/>
    <mergeCell ref="G15:I15"/>
  </mergeCells>
  <printOptions/>
  <pageMargins left="1" right="0.7" top="0.75" bottom="0.75" header="0.3" footer="0.3"/>
  <pageSetup fitToHeight="0" fitToWidth="1"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codeName="Sheet8"/>
  <dimension ref="A1:U37"/>
  <sheetViews>
    <sheetView showGridLines="0" showRowColHeaders="0" zoomScalePageLayoutView="0" workbookViewId="0" topLeftCell="A1">
      <selection activeCell="W22" sqref="W22"/>
    </sheetView>
  </sheetViews>
  <sheetFormatPr defaultColWidth="9.140625" defaultRowHeight="15"/>
  <cols>
    <col min="1" max="23" width="4.28125" style="0" customWidth="1"/>
  </cols>
  <sheetData>
    <row r="1" spans="1:21" ht="26.25">
      <c r="A1" s="778" t="s">
        <v>626</v>
      </c>
      <c r="B1" s="778"/>
      <c r="C1" s="778"/>
      <c r="D1" s="778"/>
      <c r="E1" s="778"/>
      <c r="F1" s="778"/>
      <c r="G1" s="778"/>
      <c r="H1" s="778"/>
      <c r="I1" s="778"/>
      <c r="J1" s="778"/>
      <c r="K1" s="778"/>
      <c r="L1" s="778"/>
      <c r="M1" s="778"/>
      <c r="N1" s="778"/>
      <c r="O1" s="778"/>
      <c r="P1" s="778"/>
      <c r="Q1" s="778"/>
      <c r="R1" s="778"/>
      <c r="S1" s="778"/>
      <c r="T1" s="778"/>
      <c r="U1" s="150"/>
    </row>
    <row r="2" spans="1:21" ht="30" customHeight="1">
      <c r="A2" s="777"/>
      <c r="B2" s="777"/>
      <c r="C2" s="777"/>
      <c r="D2" s="777"/>
      <c r="E2" s="777"/>
      <c r="F2" s="777"/>
      <c r="G2" s="777"/>
      <c r="H2" s="777"/>
      <c r="I2" s="777"/>
      <c r="J2" s="777"/>
      <c r="K2" s="777"/>
      <c r="L2" s="777"/>
      <c r="M2" s="777"/>
      <c r="N2" s="777"/>
      <c r="O2" s="777"/>
      <c r="P2" s="777"/>
      <c r="Q2" s="777"/>
      <c r="R2" s="777"/>
      <c r="S2" s="777"/>
      <c r="T2" s="777"/>
      <c r="U2" s="142"/>
    </row>
    <row r="3" spans="1:21" ht="9.75" customHeight="1">
      <c r="A3" s="142"/>
      <c r="B3" s="142"/>
      <c r="C3" s="142"/>
      <c r="D3" s="142"/>
      <c r="E3" s="142"/>
      <c r="F3" s="142"/>
      <c r="G3" s="142"/>
      <c r="H3" s="142"/>
      <c r="I3" s="142"/>
      <c r="J3" s="142"/>
      <c r="K3" s="142"/>
      <c r="L3" s="793"/>
      <c r="M3" s="794"/>
      <c r="N3" s="794"/>
      <c r="O3" s="794"/>
      <c r="P3" s="794"/>
      <c r="Q3" s="794"/>
      <c r="R3" s="794"/>
      <c r="S3" s="795"/>
      <c r="T3" s="142"/>
      <c r="U3" s="142"/>
    </row>
    <row r="4" spans="1:19" ht="23.25" customHeight="1">
      <c r="A4" t="s">
        <v>423</v>
      </c>
      <c r="D4" s="779" t="str">
        <f>FORM47!F5</f>
        <v>1101</v>
      </c>
      <c r="E4" s="779"/>
      <c r="F4" s="779"/>
      <c r="G4" s="779"/>
      <c r="L4" s="780" t="s">
        <v>431</v>
      </c>
      <c r="M4" s="781"/>
      <c r="N4" s="781"/>
      <c r="O4" s="781"/>
      <c r="P4" s="781"/>
      <c r="Q4" s="781"/>
      <c r="R4" s="781"/>
      <c r="S4" s="782"/>
    </row>
    <row r="5" spans="1:19" ht="23.25" customHeight="1">
      <c r="A5" t="s">
        <v>424</v>
      </c>
      <c r="D5" s="769" t="str">
        <f>Form101!H6</f>
        <v>DTO, Chittoor</v>
      </c>
      <c r="E5" s="769"/>
      <c r="F5" s="769"/>
      <c r="G5" s="769"/>
      <c r="L5" s="783"/>
      <c r="M5" s="781"/>
      <c r="N5" s="781"/>
      <c r="O5" s="781"/>
      <c r="P5" s="781"/>
      <c r="Q5" s="781"/>
      <c r="R5" s="781"/>
      <c r="S5" s="782"/>
    </row>
    <row r="6" spans="1:19" ht="23.25" customHeight="1">
      <c r="A6" s="9" t="s">
        <v>425</v>
      </c>
      <c r="B6" s="9"/>
      <c r="C6" s="9"/>
      <c r="D6" s="769" t="str">
        <f>Data!F21</f>
        <v>1101-0308-109</v>
      </c>
      <c r="E6" s="769"/>
      <c r="F6" s="769"/>
      <c r="G6" s="769"/>
      <c r="L6" s="783"/>
      <c r="M6" s="781"/>
      <c r="N6" s="781"/>
      <c r="O6" s="781"/>
      <c r="P6" s="781"/>
      <c r="Q6" s="781"/>
      <c r="R6" s="781"/>
      <c r="S6" s="782"/>
    </row>
    <row r="7" spans="5:19" ht="9.75" customHeight="1">
      <c r="E7" s="769"/>
      <c r="F7" s="769"/>
      <c r="G7" s="769"/>
      <c r="H7" s="769"/>
      <c r="I7" s="769"/>
      <c r="L7" s="796"/>
      <c r="M7" s="797"/>
      <c r="N7" s="797"/>
      <c r="O7" s="797"/>
      <c r="P7" s="797"/>
      <c r="Q7" s="797"/>
      <c r="R7" s="797"/>
      <c r="S7" s="798"/>
    </row>
    <row r="8" spans="1:19" ht="33" customHeight="1">
      <c r="A8" s="144" t="s">
        <v>426</v>
      </c>
      <c r="B8" s="143"/>
      <c r="C8" s="143"/>
      <c r="D8" s="143"/>
      <c r="E8" s="788" t="str">
        <f>appendix!N73</f>
        <v> Headmaster </v>
      </c>
      <c r="F8" s="788"/>
      <c r="G8" s="788"/>
      <c r="H8" s="788"/>
      <c r="I8" s="788" t="s">
        <v>427</v>
      </c>
      <c r="J8" s="788"/>
      <c r="K8" s="788"/>
      <c r="L8" s="788"/>
      <c r="M8" s="788"/>
      <c r="N8" s="790" t="s">
        <v>430</v>
      </c>
      <c r="O8" s="790"/>
      <c r="P8" s="790"/>
      <c r="Q8" s="790"/>
      <c r="R8" s="790"/>
      <c r="S8" s="790"/>
    </row>
    <row r="9" spans="1:19" ht="24.75" customHeight="1">
      <c r="A9" s="144" t="s">
        <v>428</v>
      </c>
      <c r="D9" s="785" t="str">
        <f>Data!K21</f>
        <v>07084</v>
      </c>
      <c r="E9" s="786"/>
      <c r="F9" s="787"/>
      <c r="I9" s="788" t="s">
        <v>429</v>
      </c>
      <c r="J9" s="788"/>
      <c r="K9" s="788"/>
      <c r="L9" s="788"/>
      <c r="M9" s="788"/>
      <c r="N9" s="789" t="str">
        <f>Data!O21</f>
        <v>SBI,Chittoor</v>
      </c>
      <c r="O9" s="789"/>
      <c r="P9" s="789"/>
      <c r="Q9" s="789"/>
      <c r="R9" s="789"/>
      <c r="S9" s="789"/>
    </row>
    <row r="10" spans="1:19" ht="9" customHeight="1">
      <c r="A10" s="146"/>
      <c r="B10" s="141"/>
      <c r="C10" s="141"/>
      <c r="D10" s="145"/>
      <c r="E10" s="145"/>
      <c r="F10" s="147"/>
      <c r="G10" s="141"/>
      <c r="J10" s="144"/>
      <c r="N10" s="8"/>
      <c r="O10" s="8"/>
      <c r="P10" s="8"/>
      <c r="Q10" s="8"/>
      <c r="R10" s="8"/>
      <c r="S10" s="8"/>
    </row>
    <row r="11" spans="1:19" ht="22.5" customHeight="1">
      <c r="A11" t="s">
        <v>416</v>
      </c>
      <c r="F11" s="7">
        <v>2</v>
      </c>
      <c r="G11" s="7">
        <v>2</v>
      </c>
      <c r="H11" s="7">
        <v>0</v>
      </c>
      <c r="I11" s="7">
        <v>2</v>
      </c>
      <c r="J11" s="140"/>
      <c r="K11" s="7">
        <v>0</v>
      </c>
      <c r="L11" s="7" t="str">
        <f>FORM47!E16</f>
        <v>2</v>
      </c>
      <c r="M11" s="140"/>
      <c r="N11" s="7">
        <v>1</v>
      </c>
      <c r="O11" s="7" t="str">
        <f>FORM47!E18</f>
        <v>9</v>
      </c>
      <c r="P11" s="7" t="str">
        <f>FORM47!F18</f>
        <v>1</v>
      </c>
      <c r="Q11" s="140"/>
      <c r="R11" s="7" t="str">
        <f>FORM47!E20</f>
        <v>-</v>
      </c>
      <c r="S11" s="7" t="str">
        <f>FORM47!F20</f>
        <v>-</v>
      </c>
    </row>
    <row r="12" spans="6:19" ht="15">
      <c r="F12" s="772" t="s">
        <v>417</v>
      </c>
      <c r="G12" s="772"/>
      <c r="H12" s="772"/>
      <c r="I12" s="772"/>
      <c r="K12" s="772" t="s">
        <v>432</v>
      </c>
      <c r="L12" s="772"/>
      <c r="N12" s="772" t="s">
        <v>418</v>
      </c>
      <c r="O12" s="772"/>
      <c r="P12" s="772"/>
      <c r="R12" s="791" t="s">
        <v>419</v>
      </c>
      <c r="S12" s="791"/>
    </row>
    <row r="14" spans="7:16" ht="21" customHeight="1">
      <c r="G14" s="7">
        <f>FORM47!E22</f>
        <v>0</v>
      </c>
      <c r="H14" s="7">
        <f>FORM47!F22</f>
        <v>5</v>
      </c>
      <c r="I14" s="140"/>
      <c r="J14" s="7">
        <f>FORM47!D24</f>
        <v>0</v>
      </c>
      <c r="K14" s="7">
        <f>FORM47!E24</f>
        <v>1</v>
      </c>
      <c r="L14" s="7">
        <f>FORM47!F24</f>
        <v>0</v>
      </c>
      <c r="M14" s="140"/>
      <c r="N14" s="7" t="s">
        <v>433</v>
      </c>
      <c r="O14" s="7" t="s">
        <v>433</v>
      </c>
      <c r="P14" s="7" t="s">
        <v>433</v>
      </c>
    </row>
    <row r="15" spans="7:16" ht="15">
      <c r="G15" s="148" t="s">
        <v>434</v>
      </c>
      <c r="H15" s="148"/>
      <c r="I15" s="148"/>
      <c r="J15" s="772" t="s">
        <v>435</v>
      </c>
      <c r="K15" s="772"/>
      <c r="L15" s="772"/>
      <c r="M15" s="148"/>
      <c r="N15" s="772" t="s">
        <v>436</v>
      </c>
      <c r="O15" s="772"/>
      <c r="P15" s="772"/>
    </row>
    <row r="17" spans="1:21" ht="15" customHeight="1">
      <c r="A17" t="s">
        <v>420</v>
      </c>
      <c r="D17" s="773" t="str">
        <f>FORM47!E27</f>
        <v>N</v>
      </c>
      <c r="E17" s="774"/>
      <c r="G17" t="s">
        <v>438</v>
      </c>
      <c r="J17" s="773" t="str">
        <f>FORM47!L27</f>
        <v>V</v>
      </c>
      <c r="K17" s="774"/>
      <c r="L17" s="770" t="s">
        <v>440</v>
      </c>
      <c r="M17" s="771"/>
      <c r="N17" s="771"/>
      <c r="O17" s="771"/>
      <c r="P17" s="799">
        <f>FORM47!E30</f>
        <v>2</v>
      </c>
      <c r="Q17" s="799">
        <f>FORM47!F30</f>
        <v>2</v>
      </c>
      <c r="R17" s="799">
        <f>FORM47!G30</f>
        <v>0</v>
      </c>
      <c r="S17" s="799">
        <f>FORM47!H30</f>
        <v>2</v>
      </c>
      <c r="T17" s="152"/>
      <c r="U17" s="151"/>
    </row>
    <row r="18" spans="1:21" ht="15" customHeight="1">
      <c r="A18" t="s">
        <v>437</v>
      </c>
      <c r="D18" s="775"/>
      <c r="E18" s="776"/>
      <c r="G18" t="s">
        <v>439</v>
      </c>
      <c r="J18" s="775"/>
      <c r="K18" s="776"/>
      <c r="L18" s="770"/>
      <c r="M18" s="771"/>
      <c r="N18" s="771"/>
      <c r="O18" s="771"/>
      <c r="P18" s="800"/>
      <c r="Q18" s="800"/>
      <c r="R18" s="800"/>
      <c r="S18" s="800"/>
      <c r="T18" s="152"/>
      <c r="U18" s="151"/>
    </row>
    <row r="21" spans="1:18" ht="15">
      <c r="A21" t="s">
        <v>441</v>
      </c>
      <c r="C21" s="768">
        <f>FORM47!H40</f>
        <v>98930</v>
      </c>
      <c r="D21" s="769"/>
      <c r="E21" s="769"/>
      <c r="F21" s="769"/>
      <c r="G21" t="s">
        <v>442</v>
      </c>
      <c r="J21" s="768">
        <f>FORM47!H41</f>
        <v>11545</v>
      </c>
      <c r="K21" s="769"/>
      <c r="L21" s="769"/>
      <c r="M21" s="769"/>
      <c r="N21" t="s">
        <v>443</v>
      </c>
      <c r="O21" s="768">
        <f>C21-J21</f>
        <v>87385</v>
      </c>
      <c r="P21" s="769"/>
      <c r="Q21" s="769"/>
      <c r="R21" s="769"/>
    </row>
    <row r="22" spans="1:21" ht="15">
      <c r="A22" s="792" t="str">
        <f>"Net Rupees("&amp;O21&amp;"/-):"&amp;FORM47!B44</f>
        <v>Net Rupees(87385/-):Eighty seven Thousand Three Hundred Eighty five Rupees</v>
      </c>
      <c r="B22" s="792"/>
      <c r="C22" s="792"/>
      <c r="D22" s="792"/>
      <c r="E22" s="792"/>
      <c r="F22" s="792"/>
      <c r="G22" s="792"/>
      <c r="H22" s="792"/>
      <c r="I22" s="792"/>
      <c r="J22" s="792"/>
      <c r="K22" s="792"/>
      <c r="L22" s="792"/>
      <c r="M22" s="792"/>
      <c r="N22" s="792"/>
      <c r="O22" s="792"/>
      <c r="P22" s="792"/>
      <c r="Q22" s="792"/>
      <c r="R22" s="792"/>
      <c r="S22" s="792"/>
      <c r="T22" s="792"/>
      <c r="U22" s="8"/>
    </row>
    <row r="23" spans="1:21" ht="8.25" customHeight="1">
      <c r="A23" s="8"/>
      <c r="B23" s="8"/>
      <c r="C23" s="8"/>
      <c r="D23" s="8"/>
      <c r="E23" s="8"/>
      <c r="F23" s="8"/>
      <c r="G23" s="8"/>
      <c r="H23" s="8"/>
      <c r="I23" s="8"/>
      <c r="J23" s="8"/>
      <c r="K23" s="8"/>
      <c r="L23" s="8"/>
      <c r="M23" s="8"/>
      <c r="N23" s="8"/>
      <c r="O23" s="8"/>
      <c r="P23" s="8"/>
      <c r="Q23" s="8"/>
      <c r="R23" s="8"/>
      <c r="S23" s="8"/>
      <c r="T23" s="8"/>
      <c r="U23" s="8"/>
    </row>
    <row r="24" spans="1:20" ht="24.75" customHeight="1">
      <c r="A24" s="784" t="str">
        <f>"Messanger "&amp;Data!O22&amp;","&amp;appendix!N72</f>
        <v>Messanger S.Venkatesh, SA Maths,Z P High School, M.D Mangalam, G D Nellore, Karimnagar</v>
      </c>
      <c r="B24" s="784"/>
      <c r="C24" s="784"/>
      <c r="D24" s="784"/>
      <c r="E24" s="784"/>
      <c r="F24" s="784"/>
      <c r="G24" s="784"/>
      <c r="H24" s="784"/>
      <c r="I24" s="784"/>
      <c r="J24" s="784"/>
      <c r="K24" s="784"/>
      <c r="L24" s="784"/>
      <c r="M24" s="784"/>
      <c r="N24" s="784"/>
      <c r="O24" s="784"/>
      <c r="P24" s="784"/>
      <c r="Q24" s="784"/>
      <c r="R24" s="784"/>
      <c r="S24" s="784"/>
      <c r="T24" s="784"/>
    </row>
    <row r="25" ht="15">
      <c r="A25" s="149" t="s">
        <v>421</v>
      </c>
    </row>
    <row r="28" spans="1:7" ht="28.5" customHeight="1">
      <c r="A28" s="771" t="s">
        <v>444</v>
      </c>
      <c r="B28" s="771"/>
      <c r="C28" s="771"/>
      <c r="D28" s="771"/>
      <c r="E28" s="771"/>
      <c r="G28">
        <v>1</v>
      </c>
    </row>
    <row r="31" ht="15">
      <c r="G31">
        <v>2</v>
      </c>
    </row>
    <row r="34" spans="1:15" ht="15">
      <c r="A34" t="s">
        <v>422</v>
      </c>
      <c r="H34" t="s">
        <v>445</v>
      </c>
      <c r="O34" t="s">
        <v>447</v>
      </c>
    </row>
    <row r="37" ht="15">
      <c r="H37" t="s">
        <v>446</v>
      </c>
    </row>
  </sheetData>
  <sheetProtection password="DE3D" sheet="1"/>
  <mergeCells count="34">
    <mergeCell ref="A22:T22"/>
    <mergeCell ref="A28:E28"/>
    <mergeCell ref="L3:S3"/>
    <mergeCell ref="L7:S7"/>
    <mergeCell ref="I8:M8"/>
    <mergeCell ref="I9:M9"/>
    <mergeCell ref="P17:P18"/>
    <mergeCell ref="Q17:Q18"/>
    <mergeCell ref="R17:R18"/>
    <mergeCell ref="S17:S18"/>
    <mergeCell ref="A24:T24"/>
    <mergeCell ref="E7:I7"/>
    <mergeCell ref="D9:F9"/>
    <mergeCell ref="E8:H8"/>
    <mergeCell ref="N9:S9"/>
    <mergeCell ref="N8:S8"/>
    <mergeCell ref="F12:I12"/>
    <mergeCell ref="K12:L12"/>
    <mergeCell ref="N12:P12"/>
    <mergeCell ref="R12:S12"/>
    <mergeCell ref="A2:T2"/>
    <mergeCell ref="A1:T1"/>
    <mergeCell ref="D4:G4"/>
    <mergeCell ref="D5:G5"/>
    <mergeCell ref="D6:G6"/>
    <mergeCell ref="L4:S6"/>
    <mergeCell ref="C21:F21"/>
    <mergeCell ref="J21:M21"/>
    <mergeCell ref="O21:R21"/>
    <mergeCell ref="L17:O18"/>
    <mergeCell ref="J15:L15"/>
    <mergeCell ref="N15:P15"/>
    <mergeCell ref="D17:E18"/>
    <mergeCell ref="J17:K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dc:creator>
  <cp:keywords/>
  <dc:description/>
  <cp:lastModifiedBy>seshadri</cp:lastModifiedBy>
  <cp:lastPrinted>2015-04-22T16:16:13Z</cp:lastPrinted>
  <dcterms:created xsi:type="dcterms:W3CDTF">2015-02-15T05:04:11Z</dcterms:created>
  <dcterms:modified xsi:type="dcterms:W3CDTF">2015-05-04T16:33:20Z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