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45" tabRatio="823" firstSheet="1" activeTab="1"/>
  </bookViews>
  <sheets>
    <sheet name="Instructions-Tax Rules" sheetId="1" r:id="rId1"/>
    <sheet name="DATA" sheetId="2" r:id="rId2"/>
    <sheet name="Salary Details" sheetId="3" r:id="rId3"/>
    <sheet name="Income Tax Form" sheetId="4" r:id="rId4"/>
    <sheet name="Salary Details(A4)" sheetId="5" r:id="rId5"/>
    <sheet name="IncomeTaxForm(A4)" sheetId="6" r:id="rId6"/>
    <sheet name="Form-16(1)" sheetId="7" r:id="rId7"/>
    <sheet name="Form-16(2)" sheetId="8" r:id="rId8"/>
    <sheet name="RENT" sheetId="9" state="hidden" r:id="rId9"/>
    <sheet name="Rent Sheet" sheetId="10" r:id="rId10"/>
    <sheet name="Form22B" sheetId="11" r:id="rId11"/>
    <sheet name="DA" sheetId="12" state="hidden" r:id="rId12"/>
  </sheets>
  <definedNames>
    <definedName name="_xlfn.IFERROR" hidden="1">#NAME?</definedName>
    <definedName name="employee">'DATA'!$U$51:$Y$56</definedName>
    <definedName name="list">'DATA'!$U$52:$W$55</definedName>
    <definedName name="month">'DATA'!$N$62:$R$63</definedName>
    <definedName name="name">'DATA'!$V$52:$V$55</definedName>
    <definedName name="_xlnm.Print_Area" localSheetId="11">'DA'!$A$4:$O$45</definedName>
    <definedName name="_xlnm.Print_Area" localSheetId="6">'Form-16(1)'!$A$1:$M$61</definedName>
    <definedName name="_xlnm.Print_Area" localSheetId="7">'Form-16(2)'!$A$1:$L$62</definedName>
    <definedName name="_xlnm.Print_Area" localSheetId="3">'Income Tax Form'!$A$1:$L$69</definedName>
    <definedName name="_xlnm.Print_Area" localSheetId="5">'IncomeTaxForm(A4)'!$A$1:$L$69</definedName>
    <definedName name="_xlnm.Print_Area" localSheetId="8">'RENT'!$A$14:$I$39</definedName>
    <definedName name="_xlnm.Print_Area" localSheetId="9">'Rent Sheet'!$A$1:$I$10</definedName>
    <definedName name="_xlnm.Print_Area" localSheetId="2">'Salary Details'!$A$1:$T$29</definedName>
    <definedName name="_xlnm.Print_Area" localSheetId="4">'Salary Details(A4)'!$A$1:$T$29</definedName>
    <definedName name="rate">'DATA'!$W$52:$W$55</definedName>
  </definedNames>
  <calcPr fullCalcOnLoad="1"/>
</workbook>
</file>

<file path=xl/comments2.xml><?xml version="1.0" encoding="utf-8"?>
<comments xmlns="http://schemas.openxmlformats.org/spreadsheetml/2006/main">
  <authors>
    <author>RENUKA</author>
  </authors>
  <commentList>
    <comment ref="AL22" authorId="0">
      <text>
        <r>
          <rPr>
            <b/>
            <sz val="9"/>
            <rFont val="Tahoma"/>
            <family val="2"/>
          </rPr>
          <t>RENUKA:</t>
        </r>
        <r>
          <rPr>
            <sz val="9"/>
            <rFont val="Tahoma"/>
            <family val="2"/>
          </rPr>
          <t xml:space="preserve">
Ignore if don’t want FORM 16 Printout
</t>
        </r>
      </text>
    </comment>
    <comment ref="AP22" authorId="0">
      <text>
        <r>
          <rPr>
            <b/>
            <sz val="9"/>
            <rFont val="Tahoma"/>
            <family val="2"/>
          </rPr>
          <t>RENUKA:</t>
        </r>
        <r>
          <rPr>
            <sz val="9"/>
            <rFont val="Tahoma"/>
            <family val="2"/>
          </rPr>
          <t xml:space="preserve">
Ignore if u don’t want form 16 Printout</t>
        </r>
      </text>
    </comment>
    <comment ref="AV22" authorId="0">
      <text>
        <r>
          <rPr>
            <b/>
            <sz val="9"/>
            <rFont val="Tahoma"/>
            <family val="2"/>
          </rPr>
          <t>RENUKA:</t>
        </r>
        <r>
          <rPr>
            <sz val="9"/>
            <rFont val="Tahoma"/>
            <family val="2"/>
          </rPr>
          <t xml:space="preserve">
Ignore if u don’t want form 16 Printout</t>
        </r>
      </text>
    </comment>
    <comment ref="AM23" authorId="0">
      <text>
        <r>
          <rPr>
            <b/>
            <sz val="9"/>
            <rFont val="Tahoma"/>
            <family val="2"/>
          </rPr>
          <t>RENUKA:</t>
        </r>
        <r>
          <rPr>
            <sz val="9"/>
            <rFont val="Tahoma"/>
            <family val="2"/>
          </rPr>
          <t xml:space="preserve">
Ignore if u don’t want form 16 Printout
</t>
        </r>
      </text>
    </comment>
    <comment ref="AT23" authorId="0">
      <text>
        <r>
          <rPr>
            <b/>
            <sz val="9"/>
            <rFont val="Tahoma"/>
            <family val="2"/>
          </rPr>
          <t>RENUKA:</t>
        </r>
        <r>
          <rPr>
            <sz val="9"/>
            <rFont val="Tahoma"/>
            <family val="2"/>
          </rPr>
          <t xml:space="preserve">
Ignore if u don’t want form 16 Printout</t>
        </r>
      </text>
    </comment>
    <comment ref="BF10" authorId="0">
      <text>
        <r>
          <rPr>
            <b/>
            <sz val="9"/>
            <rFont val="Tahoma"/>
            <family val="2"/>
          </rPr>
          <t>RENUKA:</t>
        </r>
        <r>
          <rPr>
            <sz val="9"/>
            <rFont val="Tahoma"/>
            <family val="2"/>
          </rPr>
          <t xml:space="preserve">
Edit your house rent, If u want, House rent should be multiples of Rs 100/- ie 3500, 3600, 3800,4000 not like 3568, 5602
</t>
        </r>
      </text>
    </comment>
    <comment ref="AM12" authorId="0">
      <text>
        <r>
          <rPr>
            <b/>
            <sz val="9"/>
            <rFont val="Tahoma"/>
            <family val="2"/>
          </rPr>
          <t>Insert your salary deduction LIC only, else leave it , (Don’t Enter APLIC here )</t>
        </r>
        <r>
          <rPr>
            <sz val="9"/>
            <rFont val="Tahoma"/>
            <family val="2"/>
          </rPr>
          <t xml:space="preserve">
</t>
        </r>
      </text>
    </comment>
  </commentList>
</comments>
</file>

<file path=xl/sharedStrings.xml><?xml version="1.0" encoding="utf-8"?>
<sst xmlns="http://schemas.openxmlformats.org/spreadsheetml/2006/main" count="1127" uniqueCount="665">
  <si>
    <t>Incre</t>
  </si>
  <si>
    <t>AAS</t>
  </si>
  <si>
    <t>Promotion</t>
  </si>
  <si>
    <t>No</t>
  </si>
  <si>
    <t>Yes</t>
  </si>
  <si>
    <t>B Pay</t>
  </si>
  <si>
    <t>BPAY</t>
  </si>
  <si>
    <t>B.Pay</t>
  </si>
  <si>
    <t>Bpay</t>
  </si>
  <si>
    <t>PROMOTION</t>
  </si>
  <si>
    <t>SNO</t>
  </si>
  <si>
    <t>Month</t>
  </si>
  <si>
    <t>HRA</t>
  </si>
  <si>
    <t>PAY</t>
  </si>
  <si>
    <t>Before</t>
  </si>
  <si>
    <t>After</t>
  </si>
  <si>
    <t>No Change</t>
  </si>
  <si>
    <t>DA</t>
  </si>
  <si>
    <t>HRA %</t>
  </si>
  <si>
    <t>DA %</t>
  </si>
  <si>
    <t>S.No</t>
  </si>
  <si>
    <t>Pay</t>
  </si>
  <si>
    <t>FPI</t>
  </si>
  <si>
    <t>Addl.</t>
  </si>
  <si>
    <t>Others</t>
  </si>
  <si>
    <t>CCA</t>
  </si>
  <si>
    <t>PHC</t>
  </si>
  <si>
    <t>Gross Total</t>
  </si>
  <si>
    <t xml:space="preserve">GIS </t>
  </si>
  <si>
    <t>PT</t>
  </si>
  <si>
    <t>Other Arrears</t>
  </si>
  <si>
    <t>TOTAL</t>
  </si>
  <si>
    <t>Male</t>
  </si>
  <si>
    <t>Female</t>
  </si>
  <si>
    <t>Designation</t>
  </si>
  <si>
    <t>Mandal</t>
  </si>
  <si>
    <t>Basic Pay</t>
  </si>
  <si>
    <t>Addnl</t>
  </si>
  <si>
    <t>AAS(6/12/18/24) Availed</t>
  </si>
  <si>
    <t xml:space="preserve">HMA </t>
  </si>
  <si>
    <t>YES</t>
  </si>
  <si>
    <t>NO</t>
  </si>
  <si>
    <t>PF TYPE</t>
  </si>
  <si>
    <t>ZPPF</t>
  </si>
  <si>
    <t>GPF</t>
  </si>
  <si>
    <t>CPS</t>
  </si>
  <si>
    <t>if any change mention Month</t>
  </si>
  <si>
    <t>APGLI Change</t>
  </si>
  <si>
    <t>National Savings Certificate</t>
  </si>
  <si>
    <t>PLI Annual Premuim</t>
  </si>
  <si>
    <t>Unit Linked Insurance Plan</t>
  </si>
  <si>
    <t xml:space="preserve">5 Years Fixed Deposits </t>
  </si>
  <si>
    <t>Public Provident Fund</t>
  </si>
  <si>
    <t>Not Availed</t>
  </si>
  <si>
    <t>March</t>
  </si>
  <si>
    <t>April</t>
  </si>
  <si>
    <t>Already</t>
  </si>
  <si>
    <t xml:space="preserve">To be </t>
  </si>
  <si>
    <t>July</t>
  </si>
  <si>
    <t>Aug</t>
  </si>
  <si>
    <t>sep</t>
  </si>
  <si>
    <t>oct</t>
  </si>
  <si>
    <t>nov</t>
  </si>
  <si>
    <t>DIFF</t>
  </si>
  <si>
    <t xml:space="preserve">  if any change mention </t>
  </si>
  <si>
    <t>Changed to</t>
  </si>
  <si>
    <t xml:space="preserve">  PF Subscription</t>
  </si>
  <si>
    <t>If change mention</t>
  </si>
  <si>
    <t>PF Change</t>
  </si>
  <si>
    <t>totaldays</t>
  </si>
  <si>
    <t>AAS for</t>
  </si>
  <si>
    <t>Tobe</t>
  </si>
  <si>
    <t>TOT</t>
  </si>
  <si>
    <t>already</t>
  </si>
  <si>
    <t xml:space="preserve">Change to </t>
  </si>
  <si>
    <t>Interest on Educational Loan</t>
  </si>
  <si>
    <t>Interest on Housing Loan Advance</t>
  </si>
  <si>
    <t>Medical treatment of Handicapped/Dependent</t>
  </si>
  <si>
    <t>Medical Insurance Premium</t>
  </si>
  <si>
    <t>Expenditure on medical treatment</t>
  </si>
  <si>
    <t>Donation of Charitable Institution</t>
  </si>
  <si>
    <t>DDO TAN No</t>
  </si>
  <si>
    <t>DDO Name</t>
  </si>
  <si>
    <t>DDO Office</t>
  </si>
  <si>
    <t xml:space="preserve">     PAN No</t>
  </si>
  <si>
    <t>IT Advance Payments</t>
  </si>
  <si>
    <t>Jan,12</t>
  </si>
  <si>
    <t>PF</t>
  </si>
  <si>
    <t>IF(AND(AA44=1),C12,IF(AND(AA44&lt;=N32-1),O12,C12))</t>
  </si>
  <si>
    <t>APGLI</t>
  </si>
  <si>
    <t>GIS Change</t>
  </si>
  <si>
    <t>GIS</t>
  </si>
  <si>
    <t>before</t>
  </si>
  <si>
    <t>after</t>
  </si>
  <si>
    <t>ANNEXURE - II</t>
  </si>
  <si>
    <t>Gross Salary………</t>
  </si>
  <si>
    <t>Rs.</t>
  </si>
  <si>
    <t>H.R.A. Exemption as per eligibility U/s. 10(13-A)</t>
  </si>
  <si>
    <t>a)</t>
  </si>
  <si>
    <t>b)</t>
  </si>
  <si>
    <t>c)</t>
  </si>
  <si>
    <t>40% of Salary (Salary means Basic Pay+D.A)</t>
  </si>
  <si>
    <t>Deductions from Salary Income</t>
  </si>
  <si>
    <t>Exemption from Conveyance Allowance U/s. 10(14) (i)</t>
  </si>
  <si>
    <t>Profession Tax U/s 16 (3) B</t>
  </si>
  <si>
    <t>Add: Income From other sources</t>
  </si>
  <si>
    <t>Deductions</t>
  </si>
  <si>
    <t>d)</t>
  </si>
  <si>
    <t>e)</t>
  </si>
  <si>
    <t>f)</t>
  </si>
  <si>
    <t>g)</t>
  </si>
  <si>
    <t>h)</t>
  </si>
  <si>
    <t>TOTAL-----------</t>
  </si>
  <si>
    <t>i)</t>
  </si>
  <si>
    <t>j)</t>
  </si>
  <si>
    <t>k)</t>
  </si>
  <si>
    <t>Education Cess @ 1%</t>
  </si>
  <si>
    <t>Secondary &amp; Higher Education Cess @ 2%</t>
  </si>
  <si>
    <t>Details of Advance Tax Deductions</t>
  </si>
  <si>
    <t>Upto</t>
  </si>
  <si>
    <t>Total Advance Tax    Rs.</t>
  </si>
  <si>
    <t>Tax to be Paid now</t>
  </si>
  <si>
    <t>Signature of the Drawing Officer</t>
  </si>
  <si>
    <t>Signature of the Employee</t>
  </si>
  <si>
    <t>Employee PAN No:</t>
  </si>
  <si>
    <t xml:space="preserve"> HRA received</t>
  </si>
  <si>
    <t>Lived in</t>
  </si>
  <si>
    <t>Actual HRA</t>
  </si>
  <si>
    <t>Entertainment Allowance U/s 10(14)</t>
  </si>
  <si>
    <t>Income Chargeable under the head Salaries (4-5)</t>
  </si>
  <si>
    <t>EWF</t>
  </si>
  <si>
    <t>SWF</t>
  </si>
  <si>
    <t xml:space="preserve">LIC Annual Premiums </t>
  </si>
  <si>
    <t>Total Savings(a+b+c+d+e+f+g+h+i+j+k)</t>
  </si>
  <si>
    <t>Tax Payable Amount</t>
  </si>
  <si>
    <t>NIL</t>
  </si>
  <si>
    <t>Nil</t>
  </si>
  <si>
    <t>Own</t>
  </si>
  <si>
    <t>Rented</t>
  </si>
  <si>
    <t>EL</t>
  </si>
  <si>
    <t>DAYS</t>
  </si>
  <si>
    <t>Dept</t>
  </si>
  <si>
    <t>Vacation Dept</t>
  </si>
  <si>
    <t>Non-Vacation Dept</t>
  </si>
  <si>
    <t>Certificate under section 203 of the Income-tax Act, 1961                                                                                                                    for Tax deducted at source from income chargeable under the head "Salaries"</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</si>
  <si>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</si>
  <si>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</si>
  <si>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</si>
  <si>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</si>
  <si>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</si>
  <si>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</si>
  <si>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</si>
  <si>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</si>
  <si>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</si>
  <si>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</si>
  <si>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</si>
  <si>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</si>
  <si>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</si>
  <si>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</si>
  <si>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</si>
  <si>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</si>
  <si>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</si>
  <si>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</si>
  <si>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Total</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</si>
  <si>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</si>
  <si>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</si>
  <si>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</si>
  <si>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</si>
  <si>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</si>
  <si>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</si>
  <si>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</si>
  <si>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</si>
  <si>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</si>
  <si>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</si>
  <si>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</si>
  <si>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</si>
  <si>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</si>
  <si>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</si>
  <si>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</si>
  <si>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</si>
  <si>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</si>
  <si>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</si>
  <si>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</si>
  <si>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</si>
  <si>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i</t>
  </si>
  <si>
    <t>G.P.F</t>
  </si>
  <si>
    <t>ii</t>
  </si>
  <si>
    <t>A.P.G.L.I</t>
  </si>
  <si>
    <t>iii</t>
  </si>
  <si>
    <t>G.I.S</t>
  </si>
  <si>
    <t>iv</t>
  </si>
  <si>
    <t>v</t>
  </si>
  <si>
    <t>vi</t>
  </si>
  <si>
    <t>vii</t>
  </si>
  <si>
    <t>viii</t>
  </si>
  <si>
    <t>ix</t>
  </si>
  <si>
    <t>x</t>
  </si>
  <si>
    <t>xi</t>
  </si>
  <si>
    <t>Total Under Section 80C…</t>
  </si>
  <si>
    <t>Section 80CCC</t>
  </si>
  <si>
    <t>LIC / UTI  etc. Pension funds</t>
  </si>
  <si>
    <t>Section 80CCD</t>
  </si>
  <si>
    <t>Contribution to Pension Fund</t>
  </si>
  <si>
    <t>Note:</t>
  </si>
  <si>
    <t>1.aggregate amount deductible under section 80c shall not exceed one lakh rupees.</t>
  </si>
  <si>
    <t>2.aggregate amount deductible under section 80C,80CCC,80CCD, shall not exceed one lakh rupees.</t>
  </si>
  <si>
    <r>
      <t>FORM No. 16</t>
    </r>
    <r>
      <rPr>
        <sz val="18"/>
        <rFont val="Book Antiqua"/>
        <family val="1"/>
      </rPr>
      <t xml:space="preserve">  </t>
    </r>
    <r>
      <rPr>
        <sz val="16"/>
        <rFont val="Book Antiqua"/>
        <family val="1"/>
      </rPr>
      <t xml:space="preserve">                                                                                                                                                                                                                    </t>
    </r>
    <r>
      <rPr>
        <sz val="10"/>
        <rFont val="Book Antiqua"/>
        <family val="1"/>
      </rPr>
      <t xml:space="preserve"> ( Vide rule 31(1)(a) of Income Tax Rules, 1962 )</t>
    </r>
  </si>
  <si>
    <r>
      <t>Aggrigate Amount Deductible Under 3 Sections</t>
    </r>
    <r>
      <rPr>
        <sz val="11"/>
        <rFont val="Book Antiqua"/>
        <family val="1"/>
      </rPr>
      <t>………………………………………………….</t>
    </r>
  </si>
  <si>
    <t>DDO Designation</t>
  </si>
  <si>
    <t>NAME AND ADDRESS OF THE DEDUCTOR</t>
  </si>
  <si>
    <t>G.D Nellore</t>
  </si>
  <si>
    <t>Other Sections Under Chapter VI A</t>
  </si>
  <si>
    <t>( Under Sections 80E,80G,80DD etc )</t>
  </si>
  <si>
    <t>Total Under Sections 80G,80E,80DD etc…..</t>
  </si>
  <si>
    <t>Aggregate of Deductible Amounts U/Chapter VIA (A+B)………</t>
  </si>
  <si>
    <t>TOTAL INCOME  (8-10)</t>
  </si>
  <si>
    <t>TAX ON TOTAL INCOME Rs.</t>
  </si>
  <si>
    <t>Education Cess @ 1% (On Tax at  S.No.12 )</t>
  </si>
  <si>
    <t>Secondary and Higher Education Cess @ 2% (On Tax at  S.No.12 )</t>
  </si>
  <si>
    <t>TAX PAYABLE (12+13+14)</t>
  </si>
  <si>
    <t>TAX PAYABLE (15-16)</t>
  </si>
  <si>
    <r>
      <t>Less</t>
    </r>
    <r>
      <rPr>
        <sz val="10"/>
        <rFont val="Book Antiqua"/>
        <family val="1"/>
      </rPr>
      <t>:(a) Tax deducted at source U/s 192(1)</t>
    </r>
  </si>
  <si>
    <t xml:space="preserve"> (b)Tax paid by the employer on behalf of the</t>
  </si>
  <si>
    <t xml:space="preserve">     Employee U/S 192 (1A) on perquisited U/S 17 (2)</t>
  </si>
  <si>
    <t>TAX PAYABLE / REFUNDABLE (17-18)</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</si>
  <si>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</si>
  <si>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</si>
  <si>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</si>
  <si>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</si>
  <si>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</si>
  <si>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</si>
  <si>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</si>
  <si>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</si>
  <si>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</si>
  <si>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</si>
  <si>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</si>
  <si>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</si>
  <si>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</si>
  <si>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</si>
  <si>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</si>
  <si>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</si>
  <si>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</si>
  <si>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</si>
  <si>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</si>
  <si>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</si>
  <si>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Sign--</t>
  </si>
  <si>
    <t>Place:</t>
  </si>
  <si>
    <t>Signature of the person responsible for deduction of tax</t>
  </si>
  <si>
    <t>Date:</t>
  </si>
  <si>
    <t>Full Name--</t>
  </si>
  <si>
    <t>Designation-</t>
  </si>
  <si>
    <t>Signature of the DDO</t>
  </si>
  <si>
    <t>Chil Edn Fee Con..</t>
  </si>
  <si>
    <t>www.apteacher.net</t>
  </si>
  <si>
    <t>Feel free to contact if any errors in the software. Your suggessions would help to update software in next verson</t>
  </si>
  <si>
    <t>Gross Total Income  [6+7(a)-7(b)]</t>
  </si>
  <si>
    <t>Expenditure on medical treatment    Rs</t>
  </si>
  <si>
    <t>Medical Insurance Premium          Rs</t>
  </si>
  <si>
    <t>Donation of Charitable Institution       Rs</t>
  </si>
  <si>
    <t>Interest on Educational Loan         Rs</t>
  </si>
  <si>
    <t>Repayment of Home Loan Premium</t>
  </si>
  <si>
    <t>Tution Fee for 2 Chidren</t>
  </si>
  <si>
    <t>Others U/s 80 C</t>
  </si>
  <si>
    <t>Medical treatment U/s                   Rs</t>
  </si>
  <si>
    <t>Maintaince and expenditure treatment for disabled dependent                       Rs</t>
  </si>
  <si>
    <t>Long Term Savings 80CCF(infrastucture bonds)</t>
  </si>
  <si>
    <t>Investment in long term infrastructure bonds Us 80CCF</t>
  </si>
  <si>
    <t>Education Fee  concession</t>
  </si>
  <si>
    <t>Programme develped by S.Seshadri (S.A Maths),ZPHS-MD Mangalam, GD Nellore,Chittoor  Visit:www.apteacher.net</t>
  </si>
  <si>
    <t>DEARNESS ALLOWANCE- RECONER</t>
  </si>
  <si>
    <t>Select New DA</t>
  </si>
  <si>
    <r>
      <t xml:space="preserve">A Place to Learn               </t>
    </r>
    <r>
      <rPr>
        <sz val="20"/>
        <color indexed="8"/>
        <rFont val="Times New Roman"/>
        <family val="1"/>
      </rPr>
      <t>www.apteacher.net</t>
    </r>
  </si>
  <si>
    <t>Diffrence</t>
  </si>
  <si>
    <t>GO</t>
  </si>
  <si>
    <t>Date</t>
  </si>
  <si>
    <t>PF Months</t>
  </si>
  <si>
    <t>cash from</t>
  </si>
  <si>
    <t>January_2011</t>
  </si>
  <si>
    <t>April_2011</t>
  </si>
  <si>
    <t>May_2011</t>
  </si>
  <si>
    <t>July_2010</t>
  </si>
  <si>
    <t>November_2010</t>
  </si>
  <si>
    <t>December_2010</t>
  </si>
  <si>
    <t>February_2010</t>
  </si>
  <si>
    <t>June_2010</t>
  </si>
  <si>
    <t>July_2011</t>
  </si>
  <si>
    <t>November_2011</t>
  </si>
  <si>
    <t>December_2011</t>
  </si>
  <si>
    <t>Master Scale: 6700-200-7300-220-7960-240-8680-260-9460-280-10300-300-11200-330-12190-360-13270-390-14440-420-15700-450-17050-450-17050-490-18520-530-20110-570-21820-610-23650-650-25600-700-27700-750-29950-800-32350-850-34900-37600-970-45010-1040-43630-1110-46960-1200-51760-1300-55660</t>
  </si>
  <si>
    <t>Prepared by S.Seshadri SA(MM),Mahadevamangalam, GD Nellore,Chittoor.</t>
  </si>
  <si>
    <t>Visit me at www.apteacher.net for all  Teacher related software</t>
  </si>
  <si>
    <t>APGLI SLABS IN RPS 2010</t>
  </si>
  <si>
    <t>P.TAX Rates</t>
  </si>
  <si>
    <r>
      <rPr>
        <b/>
        <u val="single"/>
        <sz val="15"/>
        <color indexed="12"/>
        <rFont val="Calibri"/>
        <family val="2"/>
      </rPr>
      <t>www.apteacher.net</t>
    </r>
    <r>
      <rPr>
        <u val="single"/>
        <sz val="11"/>
        <color indexed="12"/>
        <rFont val="Calibri"/>
        <family val="2"/>
      </rPr>
      <t xml:space="preserve">
</t>
    </r>
    <r>
      <rPr>
        <sz val="11"/>
        <color indexed="12"/>
        <rFont val="Calibri"/>
        <family val="2"/>
      </rPr>
      <t xml:space="preserve">For all type of Teacher realated softwares,Lesson Plans,Old Question Papers,ZPPF Slips,APGLI Slips, Medical Bill Status, Know ur Salary,Income Tax Software …etc 
</t>
    </r>
  </si>
  <si>
    <t>SINO</t>
  </si>
  <si>
    <t>SLAB</t>
  </si>
  <si>
    <t>6700-8400</t>
  </si>
  <si>
    <t>Upto     5000/-</t>
  </si>
  <si>
    <t>8441-10900</t>
  </si>
  <si>
    <t>5001-6000</t>
  </si>
  <si>
    <t>10901-14860</t>
  </si>
  <si>
    <t>6001-10000</t>
  </si>
  <si>
    <t>14861-18030</t>
  </si>
  <si>
    <t>10001-15000</t>
  </si>
  <si>
    <t>18031-25600</t>
  </si>
  <si>
    <t>15001-20000</t>
  </si>
  <si>
    <t>25601-Above</t>
  </si>
  <si>
    <t>Above-20000</t>
  </si>
  <si>
    <t xml:space="preserve"> AAS Adjust to GPS/CSS/CPS</t>
  </si>
  <si>
    <t xml:space="preserve">RENT RECEIPT </t>
  </si>
  <si>
    <t>Signature of the House Owner</t>
  </si>
  <si>
    <r>
      <t xml:space="preserve">Loss Under House Property           Rs
</t>
    </r>
    <r>
      <rPr>
        <b/>
        <sz val="6"/>
        <color indexed="10"/>
        <rFont val="Bodoni MT Condensed"/>
        <family val="1"/>
      </rPr>
      <t>(Housing lone interest)</t>
    </r>
  </si>
  <si>
    <t>Feb,12</t>
  </si>
  <si>
    <t>Prepared by S.Seshadri S.A(MM),ZPHS-MD Mangalam,GD Nellore,Chittoor</t>
  </si>
  <si>
    <t xml:space="preserve">                      I  do  hereby  certify  that  the  sum  of  Rupess stated above  deducted   at  source   and  paid  to  the credit  of the central Government.   I  further certify  that  the  Information given above is true and  correct based on the books of account, documents and other available records.</t>
  </si>
  <si>
    <t>MEO,GD Nellore</t>
  </si>
  <si>
    <t>Mandal Educational Officer</t>
  </si>
  <si>
    <t>AAS 
PT</t>
  </si>
  <si>
    <t>Dec</t>
  </si>
  <si>
    <t>Jan</t>
  </si>
  <si>
    <t>Nov,Dec,Jan</t>
  </si>
  <si>
    <t>Rs.5,00,001 To10,00,000.   (@ 20%)</t>
  </si>
  <si>
    <t>above Rs.10,00,001.          (@ 30%)</t>
  </si>
  <si>
    <t>Taxable Amt Male</t>
  </si>
  <si>
    <t>Taxable Amt Female</t>
  </si>
  <si>
    <t xml:space="preserve">If Any Arrears </t>
  </si>
  <si>
    <t>Any other Arrears</t>
  </si>
  <si>
    <r>
      <t>Net Taxable Income (11-12)</t>
    </r>
    <r>
      <rPr>
        <b/>
        <sz val="9"/>
        <rFont val="Book Antiqua"/>
        <family val="1"/>
      </rPr>
      <t xml:space="preserve"> </t>
    </r>
    <r>
      <rPr>
        <b/>
        <sz val="9"/>
        <color indexed="23"/>
        <rFont val="Book Antiqua"/>
        <family val="1"/>
      </rPr>
      <t>(Rounded to multiples of  Rs.10/-)</t>
    </r>
  </si>
  <si>
    <t>Loss under House Property U/s 24(vi)</t>
  </si>
  <si>
    <t>IR</t>
  </si>
  <si>
    <t>Central Govt. Tax Rebate below Rs.5,00,000(U/s 27A)</t>
  </si>
  <si>
    <t>Total Tax Payable (16+17+18)</t>
  </si>
  <si>
    <t>SWF , EWF &amp; CMRF</t>
  </si>
  <si>
    <t>ABC XYZ</t>
  </si>
  <si>
    <t>M.Narottam Reddy</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</si>
  <si>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</si>
  <si>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</si>
  <si>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</si>
  <si>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</si>
  <si>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</si>
  <si>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</si>
  <si>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</si>
  <si>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</si>
  <si>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</si>
  <si>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</si>
  <si>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</si>
  <si>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</si>
  <si>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</si>
  <si>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</si>
  <si>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</si>
  <si>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</si>
  <si>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</si>
  <si>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</si>
  <si>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</si>
  <si>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</si>
  <si>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</si>
  <si>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</si>
  <si>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</si>
  <si>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</si>
  <si>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</si>
  <si>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</si>
  <si>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</si>
  <si>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</si>
  <si>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</si>
  <si>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</si>
  <si>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</si>
  <si>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</si>
  <si>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</si>
  <si>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</si>
  <si>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</si>
  <si>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</si>
  <si>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</si>
  <si>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</si>
  <si>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</si>
  <si>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</si>
  <si>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</si>
  <si>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</si>
  <si>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</si>
  <si>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</si>
  <si>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</si>
  <si>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</si>
  <si>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</si>
  <si>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</si>
  <si>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</si>
  <si>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</si>
  <si>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</si>
  <si>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</si>
  <si>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</si>
  <si>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</si>
  <si>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</si>
  <si>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</si>
  <si>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</si>
  <si>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</si>
  <si>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</si>
  <si>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</si>
  <si>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</si>
  <si>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</si>
  <si>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</si>
  <si>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</si>
  <si>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</si>
  <si>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</si>
  <si>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</si>
  <si>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</si>
  <si>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</si>
  <si>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</si>
  <si>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</si>
  <si>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</si>
  <si>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</si>
  <si>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</si>
  <si>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</si>
  <si>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</si>
  <si>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</si>
  <si>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</si>
  <si>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</si>
  <si>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</si>
  <si>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</si>
  <si>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</si>
  <si>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</si>
  <si>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</si>
  <si>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</si>
  <si>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</si>
  <si>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</si>
  <si>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</si>
  <si>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</si>
  <si>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</si>
  <si>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</si>
  <si>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</si>
  <si>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</si>
  <si>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</si>
  <si>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</si>
  <si>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</si>
  <si>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</si>
  <si>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</si>
  <si>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</si>
  <si>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Number</t>
  </si>
  <si>
    <t>Rupees in Words Conversion</t>
  </si>
  <si>
    <t>net</t>
  </si>
  <si>
    <t>zppf</t>
  </si>
  <si>
    <t>CSS</t>
  </si>
  <si>
    <t>Employee Residencial Address</t>
  </si>
  <si>
    <t>May</t>
  </si>
  <si>
    <t>June</t>
  </si>
  <si>
    <t>August</t>
  </si>
  <si>
    <t>September</t>
  </si>
  <si>
    <t>October</t>
  </si>
  <si>
    <t>November</t>
  </si>
  <si>
    <t>December</t>
  </si>
  <si>
    <t>January</t>
  </si>
  <si>
    <t>February</t>
  </si>
  <si>
    <t xml:space="preserve">   Name of the Employee</t>
  </si>
  <si>
    <t xml:space="preserve">    Place of working</t>
  </si>
  <si>
    <t>Up to Rs. 2,50,000</t>
  </si>
  <si>
    <t>Rs.2,50,001 To 5,00,000.    (@ 10%)</t>
  </si>
  <si>
    <t>Rs.2,50,001 To 5,00,000. (@ 10%)</t>
  </si>
  <si>
    <t>EHF</t>
  </si>
  <si>
    <t>Signature of the house owner</t>
  </si>
  <si>
    <t>Rs:2000/-Central Govt. Tax Rebate below Rs.5,00,000(U/s 87A)</t>
  </si>
  <si>
    <t>AP</t>
  </si>
  <si>
    <t>TS</t>
  </si>
  <si>
    <t>Emp Treasury ID</t>
  </si>
  <si>
    <t xml:space="preserve">    Details As Follows </t>
  </si>
  <si>
    <t>January_2012</t>
  </si>
  <si>
    <t>April_2012</t>
  </si>
  <si>
    <t>May_2012</t>
  </si>
  <si>
    <t>July_2012</t>
  </si>
  <si>
    <t>October_2012</t>
  </si>
  <si>
    <t>November_2012</t>
  </si>
  <si>
    <t>January_2013</t>
  </si>
  <si>
    <t>April_2013</t>
  </si>
  <si>
    <t>May_2013</t>
  </si>
  <si>
    <t>July_2013</t>
  </si>
  <si>
    <t>September_2013</t>
  </si>
  <si>
    <t>October_2013</t>
  </si>
  <si>
    <t>January_2014</t>
  </si>
  <si>
    <t>April_2014</t>
  </si>
  <si>
    <t>May_2014</t>
  </si>
  <si>
    <t>July_2014</t>
  </si>
  <si>
    <t>September_2014</t>
  </si>
  <si>
    <t>October_2014</t>
  </si>
  <si>
    <t>USE A4 or LEGAL PAPERS TO TAKE PRINTOUTS ……………….. Thank "Q" for using this software</t>
  </si>
  <si>
    <t>For Prints Click Here</t>
  </si>
  <si>
    <t>A4</t>
  </si>
  <si>
    <t xml:space="preserve">  Increment month</t>
  </si>
  <si>
    <t xml:space="preserve">  HRA Received</t>
  </si>
  <si>
    <t xml:space="preserve">  PF Type</t>
  </si>
  <si>
    <t xml:space="preserve">  APGLI Subscription</t>
  </si>
  <si>
    <t>Instructions To Use this Fully Automatic Software</t>
  </si>
  <si>
    <t xml:space="preserve">   Net Income Range                                        </t>
  </si>
  <si>
    <t xml:space="preserve">  Up to Rs.2,50,000 /-                                                                           </t>
  </si>
  <si>
    <t xml:space="preserve"> Tax Rates</t>
  </si>
  <si>
    <t xml:space="preserve">  Rs 2,50,001 /-     to  Rs. 5,00,000  /-                                               </t>
  </si>
  <si>
    <t xml:space="preserve">  Nil</t>
  </si>
  <si>
    <t xml:space="preserve">  10% of Total Income (-) Rs.2,50,000/-</t>
  </si>
  <si>
    <t xml:space="preserve">  Rs 25,000+20% of Total Income(-)Rs. 5,00,000/-</t>
  </si>
  <si>
    <t xml:space="preserve">  Rs 1,25,0,000+30% of Total Income(-)Rs 10,00,000/-</t>
  </si>
  <si>
    <t>Income Tax Slabs AY 2015-16 (For Salaried Employees)</t>
  </si>
  <si>
    <t>HRA Calculation( U/s  10(13A) )</t>
  </si>
  <si>
    <t xml:space="preserve">The minimum of the following amount shall be exempt </t>
  </si>
  <si>
    <r>
      <t xml:space="preserve"> b) </t>
    </r>
    <r>
      <rPr>
        <sz val="13"/>
        <color indexed="8"/>
        <rFont val="Arial"/>
        <family val="2"/>
      </rPr>
      <t xml:space="preserve">rent paid - 10% of Basic+DA </t>
    </r>
  </si>
  <si>
    <r>
      <t xml:space="preserve"> a)</t>
    </r>
    <r>
      <rPr>
        <sz val="13"/>
        <color indexed="8"/>
        <rFont val="Times New Roman"/>
        <family val="1"/>
      </rPr>
      <t xml:space="preserve">  </t>
    </r>
    <r>
      <rPr>
        <sz val="13"/>
        <color indexed="8"/>
        <rFont val="Calibri"/>
        <family val="2"/>
      </rPr>
      <t>Actual HRA Received by means of Salary</t>
    </r>
  </si>
  <si>
    <t xml:space="preserve"> c) 40% of Basic Pay and DA</t>
  </si>
  <si>
    <r>
      <t xml:space="preserve">     Read Instructions and Income Tax Act rules before use this software
1 Enter your details in the</t>
    </r>
    <r>
      <rPr>
        <sz val="13"/>
        <color indexed="60"/>
        <rFont val="Calibri"/>
        <family val="2"/>
      </rPr>
      <t xml:space="preserve"> ‘Yellow Colour’  </t>
    </r>
    <r>
      <rPr>
        <sz val="13"/>
        <color indexed="8"/>
        <rFont val="Calibri"/>
        <family val="2"/>
      </rPr>
      <t xml:space="preserve">fields only
2 Use dropdown list whenever necessary to change Pay Details, Savings and Deductions 
3 If you don’t  not have proper options, then change in the Salary Sheet and IT Form( No password protection to that fields ) which is automatically calculated according your changes
4 You can take A4 Prints or Legal Prints as per your required, using Print Button the same page
5 Suggested HRA is automatically calculated, and rent receipt is available automatically, If you want to change in HRA paid, you can change in the Income Tax Form 
</t>
    </r>
    <r>
      <rPr>
        <sz val="13"/>
        <color indexed="10"/>
        <rFont val="Calibri"/>
        <family val="2"/>
      </rPr>
      <t xml:space="preserve">Note </t>
    </r>
    <r>
      <rPr>
        <sz val="13"/>
        <color indexed="8"/>
        <rFont val="Calibri"/>
        <family val="2"/>
      </rPr>
      <t xml:space="preserve">: </t>
    </r>
    <r>
      <rPr>
        <sz val="13"/>
        <color indexed="36"/>
        <rFont val="Calibri"/>
        <family val="2"/>
      </rPr>
      <t>If you change any values manually in</t>
    </r>
    <r>
      <rPr>
        <sz val="13"/>
        <color indexed="60"/>
        <rFont val="Calibri"/>
        <family val="2"/>
      </rPr>
      <t xml:space="preserve"> Salary Form</t>
    </r>
    <r>
      <rPr>
        <sz val="13"/>
        <color indexed="36"/>
        <rFont val="Calibri"/>
        <family val="2"/>
      </rPr>
      <t xml:space="preserve"> or </t>
    </r>
    <r>
      <rPr>
        <sz val="13"/>
        <color indexed="60"/>
        <rFont val="Calibri"/>
        <family val="2"/>
      </rPr>
      <t>Income Tax Form</t>
    </r>
    <r>
      <rPr>
        <sz val="13"/>
        <color indexed="36"/>
        <rFont val="Calibri"/>
        <family val="2"/>
      </rPr>
      <t xml:space="preserve"> then use Original Downloaded Software </t>
    </r>
    <r>
      <rPr>
        <sz val="13"/>
        <color indexed="8"/>
        <rFont val="Calibri"/>
        <family val="2"/>
      </rPr>
      <t xml:space="preserve">
</t>
    </r>
  </si>
  <si>
    <r>
      <t xml:space="preserve">  </t>
    </r>
    <r>
      <rPr>
        <b/>
        <sz val="13"/>
        <rFont val="Rupee Foradian Standard"/>
        <family val="2"/>
      </rPr>
      <t>Rs.</t>
    </r>
    <r>
      <rPr>
        <b/>
        <sz val="13"/>
        <rFont val="Arial"/>
        <family val="2"/>
      </rPr>
      <t xml:space="preserve">5,00,001 /-     to Rs. 10,00,000   /-                                      </t>
    </r>
  </si>
  <si>
    <r>
      <t xml:space="preserve">  More than </t>
    </r>
    <r>
      <rPr>
        <b/>
        <sz val="13"/>
        <rFont val="Rupee Foradian Standard"/>
        <family val="2"/>
      </rPr>
      <t>Rs</t>
    </r>
    <r>
      <rPr>
        <b/>
        <sz val="13"/>
        <rFont val="Arial"/>
        <family val="2"/>
      </rPr>
      <t xml:space="preserve">10.00,000  /-                                                </t>
    </r>
  </si>
  <si>
    <r>
      <rPr>
        <b/>
        <sz val="14"/>
        <color indexed="60"/>
        <rFont val="Calibri"/>
        <family val="2"/>
      </rPr>
      <t xml:space="preserve"> Exemption for interest on housing loan(U/s 24) :</t>
    </r>
    <r>
      <rPr>
        <sz val="13"/>
        <color indexed="8"/>
        <rFont val="Calibri"/>
        <family val="2"/>
      </rPr>
      <t xml:space="preserve">
 The exemption limit  Rs.2,00,000/- for those who took loan after Apr1, 1999. If it before the Apr1, 1999,
 then the exemption is Rs:30000/- only</t>
    </r>
  </si>
  <si>
    <r>
      <rPr>
        <b/>
        <sz val="14"/>
        <color indexed="60"/>
        <rFont val="Calibri"/>
        <family val="2"/>
      </rPr>
      <t xml:space="preserve"> U/s 80CCE Exemption upto Rs:1,50,000/-: </t>
    </r>
    <r>
      <rPr>
        <sz val="14"/>
        <color indexed="8"/>
        <rFont val="Calibri"/>
        <family val="2"/>
      </rPr>
      <t xml:space="preserve">
</t>
    </r>
    <r>
      <rPr>
        <sz val="13"/>
        <color indexed="8"/>
        <rFont val="Calibri"/>
        <family val="2"/>
      </rPr>
      <t>Investiments in PF, VPF, PPF, Employee contribution in NPS,Insurance Premium, Housing loan principal repayment, NSC, ELSS, long term bank Fixed Deposit, Post Office Term Deposit is treated under this section upto Rs:1,50,000/-</t>
    </r>
  </si>
  <si>
    <r>
      <rPr>
        <sz val="11"/>
        <color indexed="60"/>
        <rFont val="Calibri"/>
        <family val="2"/>
      </rPr>
      <t xml:space="preserve"> </t>
    </r>
    <r>
      <rPr>
        <b/>
        <sz val="14"/>
        <color indexed="60"/>
        <rFont val="Calibri"/>
        <family val="2"/>
      </rPr>
      <t xml:space="preserve">U/s 80CCD Exemptions (NPS): </t>
    </r>
    <r>
      <rPr>
        <sz val="11"/>
        <color theme="1"/>
        <rFont val="Calibri"/>
        <family val="2"/>
      </rPr>
      <t xml:space="preserve">
</t>
    </r>
    <r>
      <rPr>
        <sz val="13"/>
        <color indexed="8"/>
        <rFont val="Calibri"/>
        <family val="2"/>
      </rPr>
      <t>The Central Government or any other employer to NPS (up to 10 per cent of the salary of the employee in the previous year)shall be excluded while computing the limit of Rs1,50,000.The contribution by the employee to the NPS will be subject to the limit of Rs1,00,000.</t>
    </r>
  </si>
  <si>
    <r>
      <t xml:space="preserve"> </t>
    </r>
    <r>
      <rPr>
        <b/>
        <sz val="14"/>
        <color indexed="60"/>
        <rFont val="Calibri"/>
        <family val="2"/>
      </rPr>
      <t xml:space="preserve">U/s 80D Exemptions : </t>
    </r>
    <r>
      <rPr>
        <sz val="11"/>
        <color theme="1"/>
        <rFont val="Calibri"/>
        <family val="2"/>
      </rPr>
      <t xml:space="preserve">
</t>
    </r>
    <r>
      <rPr>
        <sz val="13"/>
        <color indexed="8"/>
        <rFont val="Calibri"/>
        <family val="2"/>
      </rPr>
      <t>Expenditure incurred towards  Medical Insurance  or Health Check up Upto Rs5000,                                                                                                               premium is exempt up to Rs30,000/ per year. This includes Rs.15,000/- for self,spouse and children and Rs15000/- for Parents. If the premium includes for a dependent who is (Senior Citizen) above 60 years of age, an extra Rs5,000//- can be claimed</t>
    </r>
  </si>
  <si>
    <r>
      <rPr>
        <sz val="13"/>
        <color indexed="60"/>
        <rFont val="Calibri"/>
        <family val="2"/>
      </rPr>
      <t xml:space="preserve"> </t>
    </r>
    <r>
      <rPr>
        <b/>
        <sz val="14"/>
        <color indexed="60"/>
        <rFont val="Calibri"/>
        <family val="2"/>
      </rPr>
      <t xml:space="preserve">U/s 80DD Medical Treatment of Handicapped Dependents : </t>
    </r>
    <r>
      <rPr>
        <sz val="13"/>
        <color indexed="8"/>
        <rFont val="Calibri"/>
        <family val="2"/>
      </rPr>
      <t xml:space="preserve">
Expenditure incurred for the medical treatment of is limited to Rs.50,000/- per year if the disability is less than 80% and Rs1,00,000/- per year if the disability is more than 80%</t>
    </r>
  </si>
  <si>
    <r>
      <rPr>
        <sz val="11"/>
        <color indexed="60"/>
        <rFont val="Calibri"/>
        <family val="2"/>
      </rPr>
      <t xml:space="preserve"> </t>
    </r>
    <r>
      <rPr>
        <b/>
        <sz val="14"/>
        <color indexed="60"/>
        <rFont val="Calibri"/>
        <family val="2"/>
      </rPr>
      <t xml:space="preserve">U/s 80DDB Medical treatment for specified ailments or diseases: </t>
    </r>
    <r>
      <rPr>
        <b/>
        <sz val="14"/>
        <color indexed="8"/>
        <rFont val="Calibri"/>
        <family val="2"/>
      </rPr>
      <t xml:space="preserve">
</t>
    </r>
    <r>
      <rPr>
        <sz val="13"/>
        <color indexed="8"/>
        <rFont val="Calibri"/>
        <family val="2"/>
      </rPr>
      <t>The expenditure incurred for the treatment of ailments or diseases specified below ,  for the assesse or dependent can be claimed up to Rs40,000/- per year. If the person being treated is a senior citizen, the exemption can go up toRs60,000/-. but any amount received under Medical Insurance Policy will be reduced from the amount of deduction allowed. The Diseases and ailments considered  under this section (1)neurological diseases being dementia, dystonia musculorum deformans, motor neuron disease, ataxia, chorea, hemiballismus, aphasia and parkisons disease,    (2) cancer, (3) AIDS, (4)Chronic renal failure, (5) hemophilia, and (6) thalassemia.</t>
    </r>
  </si>
  <si>
    <r>
      <rPr>
        <b/>
        <sz val="14"/>
        <color indexed="60"/>
        <rFont val="Calibri"/>
        <family val="2"/>
      </rPr>
      <t xml:space="preserve"> U/s 80GG Exemptions : </t>
    </r>
    <r>
      <rPr>
        <sz val="13"/>
        <color indexed="8"/>
        <rFont val="Calibri"/>
        <family val="2"/>
      </rPr>
      <t xml:space="preserve">
If you are not getting  HRA, but living in rented house, an exemption is available.  This will be calculated as minimum of (25% of total income or rent paid - 10% of total income or Rs24,000/- per year)
</t>
    </r>
  </si>
  <si>
    <r>
      <rPr>
        <b/>
        <sz val="13"/>
        <color indexed="60"/>
        <rFont val="Calibri"/>
        <family val="2"/>
      </rPr>
      <t xml:space="preserve"> U/s 80E Interest Repayment on Education Loan :</t>
    </r>
    <r>
      <rPr>
        <sz val="13"/>
        <color indexed="8"/>
        <rFont val="Calibri"/>
        <family val="2"/>
      </rPr>
      <t xml:space="preserve">
 The loan taken for higher education from a university of self &amp; dependents Is considered for  completely tax exempt</t>
    </r>
    <r>
      <rPr>
        <sz val="11"/>
        <color theme="1"/>
        <rFont val="Calibri"/>
        <family val="2"/>
      </rPr>
      <t xml:space="preserve">
</t>
    </r>
  </si>
  <si>
    <r>
      <rPr>
        <sz val="13"/>
        <color indexed="60"/>
        <rFont val="Calibri"/>
        <family val="2"/>
      </rPr>
      <t xml:space="preserve"> </t>
    </r>
    <r>
      <rPr>
        <b/>
        <sz val="13"/>
        <color indexed="60"/>
        <rFont val="Calibri"/>
        <family val="2"/>
      </rPr>
      <t xml:space="preserve">U/s 80U Exemptions : </t>
    </r>
    <r>
      <rPr>
        <sz val="13"/>
        <color indexed="8"/>
        <rFont val="Calibri"/>
        <family val="2"/>
      </rPr>
      <t xml:space="preserve">
who suffers from not less than 40 per cent of any disability is eligible for deduction to the extent of Rs. 50,000/-   and in case of severe disability to the extent of Rs. 100,000/-</t>
    </r>
  </si>
  <si>
    <t xml:space="preserve"> Want to Edit Rent ?</t>
  </si>
  <si>
    <t>Rent</t>
  </si>
  <si>
    <t xml:space="preserve"> Suggested Rent  Rs</t>
  </si>
  <si>
    <t>(Note : Rent will be calculated automatically, If u want u can change, change green cell above)</t>
  </si>
  <si>
    <t>=IF($U$133&gt;500000,25000,IF(AND($U$133&gt;200000,$U$133&lt;=500000),U133-200000,0))</t>
  </si>
  <si>
    <t>D No:1-32, Eguvarooru, G D Nellore 517125</t>
  </si>
  <si>
    <t>www.itaxplans.com</t>
  </si>
  <si>
    <t>AHRA</t>
  </si>
  <si>
    <t xml:space="preserve">         AHRA</t>
  </si>
  <si>
    <t>Surreder Leave</t>
  </si>
  <si>
    <t>LIC Salary</t>
  </si>
  <si>
    <t xml:space="preserve">        GIS Subscription</t>
  </si>
  <si>
    <t>Rajiv Gandhi Equity Savings Scheme
(RGESS)</t>
  </si>
  <si>
    <t>ChangedAPGLI Subscription ?</t>
  </si>
  <si>
    <t>Changed GIS Subscription ?</t>
  </si>
  <si>
    <t>All 80C Deduction</t>
  </si>
  <si>
    <t xml:space="preserve">Tuition Fee- Two Children  Max Rs150,000 
National Savings Certificates (NSC) Max Rs150,000 -
Repayment of Home Loan Principle Max Rs 150,000 
LIC Insurance Premium- Annual Max Rs 150,000 
Unit linked Insurance Plan Max Rs 150,000 
Public Provident Fund Max Rs 150,000 80C
ULIP Max Rs 150,000 
PLI 150,000 Max Rs 150,000 
Equity linked Savings Schemes (ELSS) Max Rs 150,000 
5-Years fixed deposits with bank/post office Max Rs 150,000 
</t>
  </si>
  <si>
    <t>SGT</t>
  </si>
  <si>
    <t>Savings U/s 80C (Limited to 1.5 lakh) Under chapter IV</t>
  </si>
  <si>
    <t>PRC 10</t>
  </si>
  <si>
    <t>PRC 15</t>
  </si>
  <si>
    <t>Apr to July 2015 Calculation</t>
  </si>
  <si>
    <t>Already Drawn</t>
  </si>
  <si>
    <t>To Be Drawn</t>
  </si>
  <si>
    <t xml:space="preserve">DA </t>
  </si>
  <si>
    <t>PRC 2015 FROM</t>
  </si>
  <si>
    <t xml:space="preserve">Mar </t>
  </si>
  <si>
    <t>Apr</t>
  </si>
  <si>
    <t>Jun</t>
  </si>
  <si>
    <t>Jul</t>
  </si>
  <si>
    <t>Sep</t>
  </si>
  <si>
    <t>Oct</t>
  </si>
  <si>
    <t>Nov</t>
  </si>
  <si>
    <t>Feb</t>
  </si>
  <si>
    <t>Total PRC Arrears</t>
  </si>
  <si>
    <t>Income Tax Software 2015-16 (AY 2016-17)</t>
  </si>
  <si>
    <t>Prepared by S.Seshadri SA(Maths),ZPHS - Thugundram,GD Nellore</t>
  </si>
  <si>
    <t>Software developed by S.Seshadri,SA(MM),ZPHS-Thugundram,GD Nellore,Chittoor(Dist) Visit: www.apteacher.net</t>
  </si>
  <si>
    <t>MPPS Chenganapalle</t>
  </si>
  <si>
    <t>Irala</t>
  </si>
  <si>
    <t xml:space="preserve">      Other if any</t>
  </si>
  <si>
    <t>G Kishore</t>
  </si>
  <si>
    <t>Addl Deduction for CPS Contribution Upto Rs.50,000/-</t>
  </si>
  <si>
    <t>E.W.F, S.W.F , CMRF &amp; EHF(80D)</t>
  </si>
  <si>
    <t>E.W.F, S.W.F , CMRF &amp; EHF (80D)</t>
  </si>
  <si>
    <t>Addl Deduction for CPS Contribution Upto Rs.50,000/-(80CCD(1B))</t>
  </si>
  <si>
    <t xml:space="preserve">Advance Tax Paid </t>
  </si>
  <si>
    <t>(Under Section 1(13-A) of Income Tax Act)</t>
  </si>
  <si>
    <t xml:space="preserve">RECEIPT OF HOUSE RENT </t>
  </si>
  <si>
    <t xml:space="preserve">INCOME TAX RETURN FOR THE YEAR     </t>
  </si>
  <si>
    <t>15 Days - March,16</t>
  </si>
  <si>
    <t>30 Days - March,16</t>
  </si>
  <si>
    <t>15 Days - April,16</t>
  </si>
  <si>
    <t>30 Days - April,16</t>
  </si>
  <si>
    <t>15 Days - May,16</t>
  </si>
  <si>
    <t>30 Days - May,16</t>
  </si>
  <si>
    <t>15 Days - June,16</t>
  </si>
  <si>
    <t>30 Days - June,16</t>
  </si>
  <si>
    <t>15 Days - July,16</t>
  </si>
  <si>
    <t>30 Days - July,16</t>
  </si>
  <si>
    <t>15 Days - Aug,16</t>
  </si>
  <si>
    <t>30 Days - Aug,16</t>
  </si>
  <si>
    <t>15 Days - Sept,16</t>
  </si>
  <si>
    <t>30 Days - Sept,16</t>
  </si>
  <si>
    <t>15 Days - Oct,16</t>
  </si>
  <si>
    <t>30 Days - Oct,16</t>
  </si>
  <si>
    <t>15 Days - Nov,16</t>
  </si>
  <si>
    <t>30 Days - Nov,16</t>
  </si>
  <si>
    <t>15 Days - Dec,16</t>
  </si>
  <si>
    <t>30 Days - Dec,16</t>
  </si>
  <si>
    <t>15 Days - Jan,17</t>
  </si>
  <si>
    <t>30 Days - Jan,17</t>
  </si>
  <si>
    <t>15 Days - Feb,17</t>
  </si>
  <si>
    <t>30 Days - Feb,17</t>
  </si>
  <si>
    <t>To be</t>
  </si>
  <si>
    <t>Difference</t>
  </si>
  <si>
    <t>DA Arrears from 01/07/2015 to 31/07/2016(13 Months)</t>
  </si>
  <si>
    <t>DA Arrears Calculation 
from 01/01/2015 to Feb-2016</t>
  </si>
  <si>
    <t>To be drawn</t>
  </si>
  <si>
    <t>Diff</t>
  </si>
  <si>
    <t>INCOME TAX CALCULATION FOR THE YEAR 2016-17</t>
  </si>
  <si>
    <t>2017-18</t>
  </si>
  <si>
    <t>Doubts in IT ?? Contact</t>
  </si>
  <si>
    <t>Tot</t>
  </si>
  <si>
    <t>DA Arrears (8M) July_15 to Feb_16</t>
  </si>
  <si>
    <t>DA Arrears (9M) Jan_16 to Sept_16</t>
  </si>
  <si>
    <t>Tn Incre</t>
  </si>
  <si>
    <t>Telangana Increment</t>
  </si>
  <si>
    <t>July,16</t>
  </si>
  <si>
    <t>Aug,16</t>
  </si>
  <si>
    <t>Sep,16</t>
  </si>
  <si>
    <t>Oct,16</t>
  </si>
  <si>
    <t>Nov,16</t>
  </si>
  <si>
    <t>Dec,16</t>
  </si>
  <si>
    <t>Jan,17</t>
  </si>
  <si>
    <t>Rs:5000/- Central Govt. Tax Rebate below Rs.5,00,000(U/s 87A)</t>
  </si>
  <si>
    <t>Basic Pay on March-2016</t>
  </si>
  <si>
    <r>
      <rPr>
        <b/>
        <sz val="12"/>
        <color indexed="10"/>
        <rFont val="Calibri"/>
        <family val="2"/>
      </rPr>
      <t>Sri.V.Venkatesulu Naidu</t>
    </r>
    <r>
      <rPr>
        <sz val="11"/>
        <color theme="1"/>
        <rFont val="Calibri"/>
        <family val="2"/>
      </rPr>
      <t xml:space="preserve">
</t>
    </r>
    <r>
      <rPr>
        <b/>
        <sz val="12"/>
        <color indexed="8"/>
        <rFont val="Calibri"/>
        <family val="2"/>
      </rPr>
      <t xml:space="preserve">Gr.II Head Master
ZPHS Amudala
Palasamudram(M)
Chittoor(Dist)
</t>
    </r>
    <r>
      <rPr>
        <sz val="10"/>
        <color indexed="8"/>
        <rFont val="Calibri"/>
        <family val="2"/>
      </rPr>
      <t>venkatesuluvetukuri@gmail.com</t>
    </r>
  </si>
  <si>
    <t>INCOME-TAX RULES, 1962</t>
  </si>
  <si>
    <t>FORM NO.12BB</t>
  </si>
  <si>
    <t>(See rule 26C)</t>
  </si>
  <si>
    <t xml:space="preserve">1. Name and address of the employee: </t>
  </si>
  <si>
    <t xml:space="preserve">2. Permanent Account Number of the employee : </t>
  </si>
  <si>
    <r>
      <t xml:space="preserve">3. Financial year :    </t>
    </r>
    <r>
      <rPr>
        <b/>
        <sz val="14"/>
        <color indexed="8"/>
        <rFont val="Book Antiqua"/>
        <family val="1"/>
      </rPr>
      <t>2016-2017</t>
    </r>
  </si>
  <si>
    <t>Details of claims and evidence thereof</t>
  </si>
  <si>
    <t>Sl No.</t>
  </si>
  <si>
    <t>Nature of claim</t>
  </si>
  <si>
    <t>Amount (Rs.)</t>
  </si>
  <si>
    <t>Evidence / particulars</t>
  </si>
  <si>
    <t>(1)</t>
  </si>
  <si>
    <t>(2)</t>
  </si>
  <si>
    <t>(3)</t>
  </si>
  <si>
    <t>(4)</t>
  </si>
  <si>
    <t>House Rent Allowance:</t>
  </si>
  <si>
    <t>Receipt Produced</t>
  </si>
  <si>
    <t xml:space="preserve">(i) </t>
  </si>
  <si>
    <t>Rent paid to the landlord</t>
  </si>
  <si>
    <t xml:space="preserve">(ii) </t>
  </si>
  <si>
    <t>Name of the landlord :</t>
  </si>
  <si>
    <t>(iii)</t>
  </si>
  <si>
    <t>Address of the landlord:</t>
  </si>
  <si>
    <t xml:space="preserve">(iv) </t>
  </si>
  <si>
    <t>Permanent Account Number of the landlord :</t>
  </si>
  <si>
    <t>Note :</t>
  </si>
  <si>
    <t>Permanent Account Number shall be furnished if the aggregate rent paid during the previous year exceeds one lakh rupees</t>
  </si>
  <si>
    <t>Leave travel concessions or assistance</t>
  </si>
  <si>
    <t>Deduction of interest on borrowing:</t>
  </si>
  <si>
    <t>(i)</t>
  </si>
  <si>
    <t>Interest payable/paid to the lender</t>
  </si>
  <si>
    <t>Name of the lender :</t>
  </si>
  <si>
    <t>Stabte Bank of India</t>
  </si>
  <si>
    <t xml:space="preserve"> Address of the lender :</t>
  </si>
  <si>
    <t xml:space="preserve">Permanent Account Number of the lender : </t>
  </si>
  <si>
    <t xml:space="preserve">Financial Institutions(if available)  </t>
  </si>
  <si>
    <t>Employer(if available)</t>
  </si>
  <si>
    <t xml:space="preserve">c) </t>
  </si>
  <si>
    <t>Deduction under Chapter VI-A</t>
  </si>
  <si>
    <t>(A) Section 80C,80CCC and 80CCD</t>
  </si>
  <si>
    <t/>
  </si>
  <si>
    <t>(B) Other sections (e.g. 80E, 80G, 80TTA, etc.) under Chapter VI-A.</t>
  </si>
  <si>
    <t>(v)</t>
  </si>
  <si>
    <t>(vi)</t>
  </si>
  <si>
    <t>(vii)</t>
  </si>
  <si>
    <t>(viii)</t>
  </si>
  <si>
    <t>(ix)</t>
  </si>
  <si>
    <t>(x)</t>
  </si>
  <si>
    <t>Verification</t>
  </si>
  <si>
    <t>Place</t>
  </si>
  <si>
    <t>(Signature of the employee)</t>
  </si>
  <si>
    <t>Designation :</t>
  </si>
  <si>
    <t>Full Name :</t>
  </si>
  <si>
    <t xml:space="preserve">Problems in calculating IT, U can change/edit values anywhere in the Annexure and Salary Sheet… But use original software at every time for new IT Calculation.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</si>
</sst>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mmmm\-yy"/>
    <numFmt numFmtId="181" formatCode="mmm\-yyyy"/>
    <numFmt numFmtId="182" formatCode="mmmm\-yyyy"/>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409]d\-mmm\-yyyy;@"/>
    <numFmt numFmtId="189" formatCode="0.000"/>
    <numFmt numFmtId="190" formatCode="[$-409]dddd\,\ mmmm\ dd\,\ yyyy"/>
    <numFmt numFmtId="191" formatCode="[$-409]mmm\-yy;@"/>
    <numFmt numFmtId="192" formatCode="_-* #,##0_-;\-* #,##0_-;_-* &quot;-&quot;??_-;_-@_-"/>
  </numFmts>
  <fonts count="212">
    <font>
      <sz val="11"/>
      <color theme="1"/>
      <name val="Calibri"/>
      <family val="2"/>
    </font>
    <font>
      <sz val="11"/>
      <color indexed="8"/>
      <name val="Calibri"/>
      <family val="2"/>
    </font>
    <font>
      <b/>
      <sz val="10"/>
      <color indexed="8"/>
      <name val="Verdana"/>
      <family val="2"/>
    </font>
    <font>
      <sz val="12"/>
      <color indexed="8"/>
      <name val="Book Antiqua"/>
      <family val="1"/>
    </font>
    <font>
      <sz val="10"/>
      <color indexed="8"/>
      <name val="Book Antiqua"/>
      <family val="1"/>
    </font>
    <font>
      <sz val="10"/>
      <name val="Book Antiqua"/>
      <family val="1"/>
    </font>
    <font>
      <sz val="10"/>
      <color indexed="8"/>
      <name val="Arial Narrow"/>
      <family val="2"/>
    </font>
    <font>
      <b/>
      <sz val="10"/>
      <name val="Arial"/>
      <family val="2"/>
    </font>
    <font>
      <b/>
      <sz val="10"/>
      <name val="Verdana"/>
      <family val="2"/>
    </font>
    <font>
      <sz val="10"/>
      <name val="Arial"/>
      <family val="2"/>
    </font>
    <font>
      <sz val="8"/>
      <name val="Verdana"/>
      <family val="2"/>
    </font>
    <font>
      <b/>
      <sz val="9"/>
      <name val="Book Antiqua"/>
      <family val="1"/>
    </font>
    <font>
      <b/>
      <sz val="16"/>
      <name val="Book Antiqua"/>
      <family val="1"/>
    </font>
    <font>
      <sz val="11"/>
      <name val="Book Antiqua"/>
      <family val="1"/>
    </font>
    <font>
      <b/>
      <sz val="10"/>
      <name val="Book Antiqua"/>
      <family val="1"/>
    </font>
    <font>
      <b/>
      <sz val="11"/>
      <name val="Book Antiqua"/>
      <family val="1"/>
    </font>
    <font>
      <sz val="9"/>
      <name val="Book Antiqua"/>
      <family val="1"/>
    </font>
    <font>
      <sz val="8"/>
      <name val="Book Antiqua"/>
      <family val="1"/>
    </font>
    <font>
      <sz val="10"/>
      <name val="Tahoma"/>
      <family val="2"/>
    </font>
    <font>
      <b/>
      <sz val="11"/>
      <name val="Times New Roman"/>
      <family val="1"/>
    </font>
    <font>
      <b/>
      <sz val="12"/>
      <name val="Book Antiqua"/>
      <family val="1"/>
    </font>
    <font>
      <b/>
      <sz val="18"/>
      <name val="Book Antiqua"/>
      <family val="1"/>
    </font>
    <font>
      <sz val="16"/>
      <name val="Book Antiqua"/>
      <family val="1"/>
    </font>
    <font>
      <sz val="12"/>
      <name val="Book Antiqua"/>
      <family val="1"/>
    </font>
    <font>
      <sz val="18"/>
      <name val="Book Antiqua"/>
      <family val="1"/>
    </font>
    <font>
      <u val="single"/>
      <sz val="11"/>
      <color indexed="12"/>
      <name val="Calibri"/>
      <family val="2"/>
    </font>
    <font>
      <sz val="9"/>
      <color indexed="8"/>
      <name val="Book Antiqua"/>
      <family val="1"/>
    </font>
    <font>
      <sz val="9"/>
      <name val="Blackadder ITC"/>
      <family val="5"/>
    </font>
    <font>
      <sz val="20"/>
      <color indexed="8"/>
      <name val="Times New Roman"/>
      <family val="1"/>
    </font>
    <font>
      <b/>
      <sz val="11"/>
      <color indexed="8"/>
      <name val="Arial"/>
      <family val="2"/>
    </font>
    <font>
      <b/>
      <u val="single"/>
      <sz val="15"/>
      <color indexed="12"/>
      <name val="Calibri"/>
      <family val="2"/>
    </font>
    <font>
      <sz val="11"/>
      <color indexed="12"/>
      <name val="Calibri"/>
      <family val="2"/>
    </font>
    <font>
      <b/>
      <sz val="6"/>
      <color indexed="10"/>
      <name val="Bodoni MT Condensed"/>
      <family val="1"/>
    </font>
    <font>
      <sz val="8"/>
      <color indexed="8"/>
      <name val="Arial Narrow"/>
      <family val="2"/>
    </font>
    <font>
      <sz val="9"/>
      <color indexed="8"/>
      <name val="Arial Narrow"/>
      <family val="2"/>
    </font>
    <font>
      <b/>
      <sz val="9"/>
      <color indexed="23"/>
      <name val="Book Antiqua"/>
      <family val="1"/>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9"/>
      <name val="Tahoma"/>
      <family val="2"/>
    </font>
    <font>
      <b/>
      <sz val="9"/>
      <name val="Tahoma"/>
      <family val="2"/>
    </font>
    <font>
      <sz val="8"/>
      <name val="Times New Roman"/>
      <family val="1"/>
    </font>
    <font>
      <sz val="14"/>
      <color indexed="8"/>
      <name val="Calibri"/>
      <family val="2"/>
    </font>
    <font>
      <b/>
      <sz val="14"/>
      <color indexed="8"/>
      <name val="Calibri"/>
      <family val="2"/>
    </font>
    <font>
      <sz val="13"/>
      <color indexed="8"/>
      <name val="Calibri"/>
      <family val="2"/>
    </font>
    <font>
      <b/>
      <sz val="13"/>
      <name val="Arial"/>
      <family val="2"/>
    </font>
    <font>
      <b/>
      <sz val="13"/>
      <name val="Rupee Foradian Standard"/>
      <family val="2"/>
    </font>
    <font>
      <sz val="13"/>
      <color indexed="8"/>
      <name val="Times New Roman"/>
      <family val="1"/>
    </font>
    <font>
      <sz val="13"/>
      <color indexed="8"/>
      <name val="Arial"/>
      <family val="2"/>
    </font>
    <font>
      <sz val="13"/>
      <color indexed="60"/>
      <name val="Calibri"/>
      <family val="2"/>
    </font>
    <font>
      <sz val="13"/>
      <color indexed="10"/>
      <name val="Calibri"/>
      <family val="2"/>
    </font>
    <font>
      <sz val="13"/>
      <color indexed="36"/>
      <name val="Calibri"/>
      <family val="2"/>
    </font>
    <font>
      <b/>
      <sz val="14"/>
      <color indexed="60"/>
      <name val="Calibri"/>
      <family val="2"/>
    </font>
    <font>
      <sz val="11"/>
      <color indexed="60"/>
      <name val="Calibri"/>
      <family val="2"/>
    </font>
    <font>
      <b/>
      <sz val="13"/>
      <color indexed="60"/>
      <name val="Calibri"/>
      <family val="2"/>
    </font>
    <font>
      <sz val="10"/>
      <color indexed="8"/>
      <name val="Calibri"/>
      <family val="2"/>
    </font>
    <font>
      <b/>
      <sz val="12"/>
      <color indexed="8"/>
      <name val="Calibri"/>
      <family val="2"/>
    </font>
    <font>
      <b/>
      <sz val="12"/>
      <color indexed="10"/>
      <name val="Calibri"/>
      <family val="2"/>
    </font>
    <font>
      <b/>
      <sz val="14"/>
      <name val="Calibri"/>
      <family val="2"/>
    </font>
    <font>
      <b/>
      <sz val="14"/>
      <color indexed="8"/>
      <name val="Book Antiqua"/>
      <family val="1"/>
    </font>
    <font>
      <sz val="7"/>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8"/>
      <color indexed="8"/>
      <name val="Calibri"/>
      <family val="2"/>
    </font>
    <font>
      <b/>
      <sz val="11"/>
      <color indexed="8"/>
      <name val="Cambria"/>
      <family val="1"/>
    </font>
    <font>
      <b/>
      <sz val="11"/>
      <color indexed="10"/>
      <name val="Calibri"/>
      <family val="2"/>
    </font>
    <font>
      <sz val="8"/>
      <color indexed="8"/>
      <name val="Batang"/>
      <family val="1"/>
    </font>
    <font>
      <b/>
      <sz val="11"/>
      <color indexed="8"/>
      <name val="Times New Roman"/>
      <family val="1"/>
    </font>
    <font>
      <b/>
      <sz val="10"/>
      <color indexed="8"/>
      <name val="Times New Roman"/>
      <family val="1"/>
    </font>
    <font>
      <b/>
      <sz val="10"/>
      <color indexed="8"/>
      <name val="Calibri"/>
      <family val="2"/>
    </font>
    <font>
      <b/>
      <sz val="11"/>
      <color indexed="17"/>
      <name val="Calibri"/>
      <family val="2"/>
    </font>
    <font>
      <sz val="11"/>
      <name val="Calibri"/>
      <family val="2"/>
    </font>
    <font>
      <sz val="9"/>
      <color indexed="8"/>
      <name val="Calibri"/>
      <family val="2"/>
    </font>
    <font>
      <b/>
      <sz val="8"/>
      <color indexed="8"/>
      <name val="Calibri"/>
      <family val="2"/>
    </font>
    <font>
      <b/>
      <sz val="18"/>
      <color indexed="36"/>
      <name val="Calibri"/>
      <family val="2"/>
    </font>
    <font>
      <b/>
      <sz val="13"/>
      <color indexed="8"/>
      <name val="Calibri"/>
      <family val="2"/>
    </font>
    <font>
      <b/>
      <sz val="13"/>
      <color indexed="8"/>
      <name val="Times New Roman"/>
      <family val="1"/>
    </font>
    <font>
      <b/>
      <sz val="14"/>
      <color indexed="8"/>
      <name val="Times New Roman"/>
      <family val="1"/>
    </font>
    <font>
      <b/>
      <sz val="9"/>
      <color indexed="8"/>
      <name val="Times New Roman"/>
      <family val="1"/>
    </font>
    <font>
      <b/>
      <sz val="9"/>
      <color indexed="8"/>
      <name val="Calibri"/>
      <family val="2"/>
    </font>
    <font>
      <sz val="9.9"/>
      <color indexed="8"/>
      <name val="Calibri"/>
      <family val="2"/>
    </font>
    <font>
      <sz val="24"/>
      <color indexed="8"/>
      <name val="Calibri"/>
      <family val="2"/>
    </font>
    <font>
      <b/>
      <sz val="24"/>
      <color indexed="8"/>
      <name val="Times New Roman"/>
      <family val="1"/>
    </font>
    <font>
      <b/>
      <sz val="13"/>
      <color indexed="60"/>
      <name val="Cambria"/>
      <family val="1"/>
    </font>
    <font>
      <sz val="20"/>
      <color indexed="60"/>
      <name val="Calibri"/>
      <family val="2"/>
    </font>
    <font>
      <sz val="18"/>
      <color indexed="8"/>
      <name val="Algerian"/>
      <family val="5"/>
    </font>
    <font>
      <b/>
      <sz val="14"/>
      <color indexed="10"/>
      <name val="Times New Roman"/>
      <family val="1"/>
    </font>
    <font>
      <b/>
      <sz val="16"/>
      <color indexed="8"/>
      <name val="Times New Roman"/>
      <family val="1"/>
    </font>
    <font>
      <b/>
      <sz val="8"/>
      <color indexed="17"/>
      <name val="Calibri"/>
      <family val="2"/>
    </font>
    <font>
      <sz val="18"/>
      <color indexed="10"/>
      <name val="Calibri"/>
      <family val="2"/>
    </font>
    <font>
      <sz val="19"/>
      <color indexed="8"/>
      <name val="Calibri"/>
      <family val="2"/>
    </font>
    <font>
      <b/>
      <sz val="10.5"/>
      <color indexed="8"/>
      <name val="Calibri"/>
      <family val="2"/>
    </font>
    <font>
      <sz val="18"/>
      <color indexed="8"/>
      <name val="Calibri"/>
      <family val="2"/>
    </font>
    <font>
      <sz val="14"/>
      <color indexed="10"/>
      <name val="Calibri"/>
      <family val="2"/>
    </font>
    <font>
      <sz val="12"/>
      <color indexed="8"/>
      <name val="Calibri"/>
      <family val="2"/>
    </font>
    <font>
      <b/>
      <u val="single"/>
      <sz val="24"/>
      <color indexed="8"/>
      <name val="Times New Roman"/>
      <family val="1"/>
    </font>
    <font>
      <sz val="24"/>
      <color indexed="8"/>
      <name val="Times New Roman"/>
      <family val="1"/>
    </font>
    <font>
      <sz val="17"/>
      <color indexed="8"/>
      <name val="Calibri"/>
      <family val="2"/>
    </font>
    <font>
      <b/>
      <sz val="18"/>
      <color indexed="63"/>
      <name val="Times New Roman"/>
      <family val="1"/>
    </font>
    <font>
      <sz val="18"/>
      <color indexed="8"/>
      <name val="Times New Roman"/>
      <family val="1"/>
    </font>
    <font>
      <sz val="11"/>
      <color indexed="8"/>
      <name val="Book Antiqua"/>
      <family val="1"/>
    </font>
    <font>
      <b/>
      <sz val="11"/>
      <color indexed="8"/>
      <name val="Book Antiqua"/>
      <family val="1"/>
    </font>
    <font>
      <b/>
      <sz val="10.5"/>
      <color indexed="8"/>
      <name val="Book Antiqua"/>
      <family val="1"/>
    </font>
    <font>
      <b/>
      <sz val="10"/>
      <color indexed="8"/>
      <name val="Book Antiqua"/>
      <family val="1"/>
    </font>
    <font>
      <sz val="8"/>
      <color indexed="8"/>
      <name val="Book Antiqua"/>
      <family val="1"/>
    </font>
    <font>
      <sz val="10"/>
      <color indexed="8"/>
      <name val="Algerian"/>
      <family val="5"/>
    </font>
    <font>
      <sz val="7"/>
      <color indexed="8"/>
      <name val="Book Antiqua"/>
      <family val="1"/>
    </font>
    <font>
      <sz val="7"/>
      <color indexed="8"/>
      <name val="Calibri"/>
      <family val="2"/>
    </font>
    <font>
      <b/>
      <sz val="15"/>
      <color indexed="8"/>
      <name val="Times New Roman"/>
      <family val="1"/>
    </font>
    <font>
      <sz val="8"/>
      <name val="Segoe UI"/>
      <family val="2"/>
    </font>
    <font>
      <b/>
      <sz val="14"/>
      <color indexed="9"/>
      <name val="Calibri"/>
      <family val="2"/>
    </font>
    <font>
      <b/>
      <sz val="16"/>
      <color indexed="9"/>
      <name val="Calibri"/>
      <family val="2"/>
    </font>
    <font>
      <sz val="25"/>
      <color indexed="9"/>
      <name val="Times New Roman"/>
      <family val="1"/>
    </font>
    <font>
      <sz val="25"/>
      <color indexed="57"/>
      <name val="Times New Roman"/>
      <family val="1"/>
    </font>
    <font>
      <b/>
      <sz val="15"/>
      <color indexed="8"/>
      <name val="Calibri"/>
      <family val="2"/>
    </font>
    <font>
      <b/>
      <sz val="15"/>
      <color indexed="16"/>
      <name val="Calibri"/>
      <family val="2"/>
    </font>
    <font>
      <b/>
      <sz val="10"/>
      <color indexed="16"/>
      <name val="Calibri"/>
      <family val="2"/>
    </font>
    <font>
      <b/>
      <sz val="11"/>
      <color indexed="16"/>
      <name val="Calibri"/>
      <family val="2"/>
    </font>
    <font>
      <b/>
      <sz val="13"/>
      <color indexed="16"/>
      <name val="Calibri"/>
      <family val="2"/>
    </font>
    <font>
      <sz val="15"/>
      <color indexed="5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1"/>
      <color theme="1"/>
      <name val="Times New Roman"/>
      <family val="1"/>
    </font>
    <font>
      <sz val="8"/>
      <color theme="1"/>
      <name val="Calibri"/>
      <family val="2"/>
    </font>
    <font>
      <b/>
      <sz val="11"/>
      <color rgb="FFFF0000"/>
      <name val="Calibri"/>
      <family val="2"/>
    </font>
    <font>
      <sz val="11"/>
      <color theme="4"/>
      <name val="Calibri"/>
      <family val="2"/>
    </font>
    <font>
      <sz val="8"/>
      <color theme="1"/>
      <name val="Batang"/>
      <family val="1"/>
    </font>
    <font>
      <b/>
      <sz val="11"/>
      <color theme="1"/>
      <name val="Times New Roman"/>
      <family val="1"/>
    </font>
    <font>
      <b/>
      <sz val="10"/>
      <color theme="1"/>
      <name val="Times New Roman"/>
      <family val="1"/>
    </font>
    <font>
      <b/>
      <sz val="10"/>
      <color theme="1"/>
      <name val="Calibri"/>
      <family val="2"/>
    </font>
    <font>
      <b/>
      <sz val="11"/>
      <color theme="6" tint="-0.4999699890613556"/>
      <name val="Calibri"/>
      <family val="2"/>
    </font>
    <font>
      <sz val="9"/>
      <color theme="1"/>
      <name val="Calibri"/>
      <family val="2"/>
    </font>
    <font>
      <b/>
      <sz val="8"/>
      <color theme="1"/>
      <name val="Calibri"/>
      <family val="2"/>
    </font>
    <font>
      <b/>
      <sz val="18"/>
      <color rgb="FF7030A0"/>
      <name val="Calibri"/>
      <family val="2"/>
    </font>
    <font>
      <b/>
      <sz val="13"/>
      <color theme="1"/>
      <name val="Calibri"/>
      <family val="2"/>
    </font>
    <font>
      <b/>
      <sz val="14"/>
      <color rgb="FFC00000"/>
      <name val="Calibri"/>
      <family val="2"/>
    </font>
    <font>
      <b/>
      <sz val="13"/>
      <color theme="1"/>
      <name val="Times New Roman"/>
      <family val="1"/>
    </font>
    <font>
      <sz val="13"/>
      <color theme="1"/>
      <name val="Calibri"/>
      <family val="2"/>
    </font>
    <font>
      <b/>
      <sz val="14"/>
      <color theme="1"/>
      <name val="Times New Roman"/>
      <family val="1"/>
    </font>
    <font>
      <b/>
      <sz val="14"/>
      <color theme="1"/>
      <name val="Calibri"/>
      <family val="2"/>
    </font>
    <font>
      <b/>
      <sz val="9"/>
      <color theme="1"/>
      <name val="Times New Roman"/>
      <family val="1"/>
    </font>
    <font>
      <b/>
      <sz val="9"/>
      <color theme="1"/>
      <name val="Calibri"/>
      <family val="2"/>
    </font>
    <font>
      <sz val="9.9"/>
      <color theme="1"/>
      <name val="Calibri"/>
      <family val="2"/>
    </font>
    <font>
      <b/>
      <sz val="14"/>
      <color theme="1"/>
      <name val="Book Antiqua"/>
      <family val="1"/>
    </font>
    <font>
      <sz val="11"/>
      <color theme="1"/>
      <name val="Book Antiqua"/>
      <family val="1"/>
    </font>
    <font>
      <sz val="10"/>
      <color theme="1"/>
      <name val="Book Antiqua"/>
      <family val="1"/>
    </font>
    <font>
      <b/>
      <sz val="10"/>
      <color theme="1"/>
      <name val="Book Antiqua"/>
      <family val="1"/>
    </font>
    <font>
      <sz val="7"/>
      <color theme="1"/>
      <name val="Book Antiqua"/>
      <family val="1"/>
    </font>
    <font>
      <sz val="7"/>
      <color theme="1"/>
      <name val="Calibri"/>
      <family val="2"/>
    </font>
    <font>
      <sz val="20"/>
      <color rgb="FFC00000"/>
      <name val="Calibri"/>
      <family val="2"/>
    </font>
    <font>
      <b/>
      <sz val="13"/>
      <color rgb="FFC00000"/>
      <name val="Cambria"/>
      <family val="1"/>
    </font>
    <font>
      <b/>
      <sz val="24"/>
      <color theme="1"/>
      <name val="Times New Roman"/>
      <family val="1"/>
    </font>
    <font>
      <sz val="24"/>
      <color theme="1"/>
      <name val="Calibri"/>
      <family val="2"/>
    </font>
    <font>
      <sz val="14"/>
      <color theme="1"/>
      <name val="Calibri"/>
      <family val="2"/>
    </font>
    <font>
      <b/>
      <sz val="12"/>
      <color rgb="FFFF0000"/>
      <name val="Calibri"/>
      <family val="2"/>
    </font>
    <font>
      <sz val="14"/>
      <color rgb="FFFF0000"/>
      <name val="Calibri"/>
      <family val="2"/>
    </font>
    <font>
      <b/>
      <sz val="10.5"/>
      <color theme="1"/>
      <name val="Calibri"/>
      <family val="2"/>
    </font>
    <font>
      <sz val="18"/>
      <color theme="1"/>
      <name val="Calibri"/>
      <family val="2"/>
    </font>
    <font>
      <b/>
      <sz val="12"/>
      <color theme="1"/>
      <name val="Calibri"/>
      <family val="2"/>
    </font>
    <font>
      <sz val="19"/>
      <color theme="1"/>
      <name val="Calibri"/>
      <family val="2"/>
    </font>
    <font>
      <b/>
      <sz val="8"/>
      <color theme="6" tint="-0.4999699890613556"/>
      <name val="Calibri"/>
      <family val="2"/>
    </font>
    <font>
      <sz val="18"/>
      <color rgb="FFFF0000"/>
      <name val="Calibri"/>
      <family val="2"/>
    </font>
    <font>
      <b/>
      <sz val="14"/>
      <color rgb="FFFF0000"/>
      <name val="Times New Roman"/>
      <family val="1"/>
    </font>
    <font>
      <b/>
      <sz val="16"/>
      <color theme="1"/>
      <name val="Times New Roman"/>
      <family val="1"/>
    </font>
    <font>
      <b/>
      <sz val="15"/>
      <color theme="1"/>
      <name val="Times New Roman"/>
      <family val="1"/>
    </font>
    <font>
      <sz val="18"/>
      <color theme="1"/>
      <name val="Algerian"/>
      <family val="5"/>
    </font>
    <font>
      <sz val="12"/>
      <color theme="1"/>
      <name val="Calibri"/>
      <family val="2"/>
    </font>
    <font>
      <b/>
      <u val="single"/>
      <sz val="24"/>
      <color theme="1"/>
      <name val="Times New Roman"/>
      <family val="1"/>
    </font>
    <font>
      <sz val="24"/>
      <color theme="1"/>
      <name val="Times New Roman"/>
      <family val="1"/>
    </font>
    <font>
      <sz val="17"/>
      <color theme="1"/>
      <name val="Calibri"/>
      <family val="2"/>
    </font>
    <font>
      <sz val="9"/>
      <color theme="1"/>
      <name val="Book Antiqua"/>
      <family val="1"/>
    </font>
    <font>
      <sz val="8"/>
      <color theme="1"/>
      <name val="Book Antiqua"/>
      <family val="1"/>
    </font>
    <font>
      <sz val="10"/>
      <color theme="1"/>
      <name val="Algerian"/>
      <family val="5"/>
    </font>
    <font>
      <b/>
      <sz val="10.5"/>
      <color theme="1"/>
      <name val="Book Antiqua"/>
      <family val="1"/>
    </font>
    <font>
      <b/>
      <sz val="11"/>
      <color theme="1"/>
      <name val="Book Antiqua"/>
      <family val="1"/>
    </font>
    <font>
      <b/>
      <sz val="18"/>
      <color theme="1" tint="0.24998000264167786"/>
      <name val="Times New Roman"/>
      <family val="1"/>
    </font>
    <font>
      <sz val="18"/>
      <color theme="1"/>
      <name val="Times New Roman"/>
      <family val="1"/>
    </font>
    <font>
      <b/>
      <sz val="8"/>
      <name val="Calibri"/>
      <family val="2"/>
    </font>
  </fonts>
  <fills count="18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patternFill patternType="solid">
        <fgColor theme="3" tint="0.7999799847602844"/>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theme="0" tint="-0.04997999966144562"/>
        <bgColor indexed="64"/>
      </patternFill>
    </fill>
    <fill>
      <patternFill patternType="solid">
        <fgColor theme="2"/>
        <bgColor indexed="64"/>
      </patternFill>
    </fill>
    <fill>
      <patternFill patternType="solid">
        <fgColor indexed="47"/>
        <bgColor indexed="64"/>
      </patternFill>
    </fill>
    <fill>
      <gradientFill degree="90">
        <stop position="0">
          <color theme="0"/>
        </stop>
        <stop position="1">
          <color theme="9" tint="0.40000998973846436"/>
        </stop>
      </gradientFill>
    </fill>
    <fill>
      <gradientFill degree="90">
        <stop position="0">
          <color rgb="FFFFFF00"/>
        </stop>
        <stop position="1">
          <color rgb="FFFFC000"/>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patternFill patternType="solid">
        <fgColor rgb="FFFFFF00"/>
        <bgColor indexed="64"/>
      </pattern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6" tint="0.40000998973846436"/>
        </stop>
      </gradientFill>
    </fill>
    <fill>
      <patternFill patternType="solid">
        <fgColor indexed="51"/>
        <bgColor indexed="64"/>
      </pattern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patternFill patternType="solid">
        <fgColor theme="0"/>
        <bgColor indexed="64"/>
      </patternFill>
    </fill>
    <fill>
      <patternFill patternType="solid">
        <fgColor theme="6" tint="0.3999499976634979"/>
        <bgColor indexed="64"/>
      </patternFill>
    </fill>
    <fill>
      <gradientFill degree="90">
        <stop position="0">
          <color theme="0"/>
        </stop>
        <stop position="0.5">
          <color theme="4"/>
        </stop>
        <stop position="1">
          <color theme="0"/>
        </stop>
      </gradientFill>
    </fill>
    <fill>
      <gradientFill degree="90">
        <stop position="0">
          <color theme="0"/>
        </stop>
        <stop position="0.5">
          <color theme="4"/>
        </stop>
        <stop position="1">
          <color theme="0"/>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patternFill patternType="solid">
        <fgColor theme="0"/>
        <bgColor indexed="64"/>
      </patternFill>
    </fill>
    <fill>
      <patternFill patternType="solid">
        <fgColor rgb="FFF5FDC7"/>
        <bgColor indexed="64"/>
      </patternFill>
    </fill>
    <fill>
      <gradientFill degree="90">
        <stop position="0">
          <color theme="3" tint="0.8000100255012512"/>
        </stop>
        <stop position="0.5">
          <color theme="3" tint="0.5999900102615356"/>
        </stop>
        <stop position="1">
          <color theme="3" tint="0.8000100255012512"/>
        </stop>
      </gradientFill>
    </fill>
    <fill>
      <patternFill patternType="solid">
        <fgColor theme="3" tint="0.5999600291252136"/>
        <bgColor indexed="64"/>
      </patternFill>
    </fill>
    <fill>
      <patternFill patternType="solid">
        <fgColor indexed="11"/>
        <bgColor indexed="64"/>
      </pattern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9" tint="0.40000998973846436"/>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patternFill patternType="solid">
        <fgColor rgb="FFE3F3E9"/>
        <bgColor indexed="64"/>
      </pattern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9" tint="0.40000998973846436"/>
        </stop>
        <stop position="1">
          <color theme="6" tint="0.40000998973846436"/>
        </stop>
      </gradientFill>
    </fill>
    <fill>
      <gradientFill degree="90">
        <stop position="0">
          <color theme="9" tint="0.40000998973846436"/>
        </stop>
        <stop position="1">
          <color theme="6" tint="0.40000998973846436"/>
        </stop>
      </gradientFill>
    </fill>
    <fill>
      <gradientFill degree="90">
        <stop position="0">
          <color rgb="FFFFFF00"/>
        </stop>
        <stop position="1">
          <color rgb="FFFFC000"/>
        </stop>
      </gradientFill>
    </fill>
    <fill>
      <gradientFill degree="90">
        <stop position="0">
          <color rgb="FFFFFF00"/>
        </stop>
        <stop position="1">
          <color rgb="FFFFC000"/>
        </stop>
      </gradientFill>
    </fill>
    <fill>
      <gradientFill degree="90">
        <stop position="0">
          <color rgb="FFFFFF00"/>
        </stop>
        <stop position="1">
          <color rgb="FFFFC000"/>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s>
  <borders count="1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
      <left style="thin"/>
      <right>
        <color indexed="63"/>
      </right>
      <top>
        <color indexed="63"/>
      </top>
      <bottom style="thin"/>
    </border>
    <border>
      <left>
        <color indexed="63"/>
      </left>
      <right style="double"/>
      <top>
        <color indexed="63"/>
      </top>
      <bottom>
        <color indexed="63"/>
      </bottom>
    </border>
    <border>
      <left style="double"/>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style="hair"/>
      <bottom style="hair"/>
    </border>
    <border>
      <left>
        <color indexed="63"/>
      </left>
      <right>
        <color indexed="63"/>
      </right>
      <top style="thin"/>
      <bottom style="thin"/>
    </border>
    <border>
      <left style="double"/>
      <right>
        <color indexed="63"/>
      </right>
      <top style="thin"/>
      <bottom style="thin"/>
    </border>
    <border>
      <left>
        <color indexed="63"/>
      </left>
      <right style="double"/>
      <top style="thin"/>
      <bottom style="thin"/>
    </border>
    <border>
      <left>
        <color indexed="63"/>
      </left>
      <right>
        <color indexed="63"/>
      </right>
      <top style="thin"/>
      <bottom style="hair"/>
    </border>
    <border>
      <left>
        <color indexed="63"/>
      </left>
      <right style="double"/>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color indexed="63"/>
      </left>
      <right style="double"/>
      <top>
        <color indexed="63"/>
      </top>
      <bottom style="thin"/>
    </border>
    <border>
      <left>
        <color indexed="63"/>
      </left>
      <right style="double"/>
      <top>
        <color indexed="63"/>
      </top>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color indexed="63"/>
      </bottom>
    </border>
    <border>
      <left style="hair"/>
      <right style="hair"/>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style="thin"/>
      <bottom style="thin"/>
    </border>
    <border>
      <left style="hair"/>
      <right>
        <color indexed="63"/>
      </right>
      <top style="hair"/>
      <bottom style="hair"/>
    </border>
    <border>
      <left style="hair"/>
      <right style="hair"/>
      <top style="thin"/>
      <bottom style="thin"/>
    </border>
    <border>
      <left>
        <color indexed="63"/>
      </left>
      <right style="hair"/>
      <top style="thin"/>
      <bottom style="thin"/>
    </border>
    <border>
      <left style="double"/>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double"/>
      <right>
        <color indexed="63"/>
      </right>
      <top style="double"/>
      <bottom>
        <color indexed="63"/>
      </bottom>
    </border>
    <border>
      <left>
        <color indexed="63"/>
      </left>
      <right>
        <color indexed="63"/>
      </right>
      <top style="medium"/>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color indexed="63"/>
      </right>
      <top style="thin"/>
      <bottom style="hair"/>
    </border>
    <border>
      <left>
        <color indexed="63"/>
      </left>
      <right style="double"/>
      <top style="thin"/>
      <bottom>
        <color indexed="63"/>
      </bottom>
    </border>
    <border>
      <left style="double"/>
      <right>
        <color indexed="63"/>
      </right>
      <top>
        <color indexed="63"/>
      </top>
      <bottom style="thin"/>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medium"/>
      <top style="thin"/>
      <bottom style="thin"/>
    </border>
    <border>
      <left>
        <color indexed="63"/>
      </left>
      <right>
        <color indexed="63"/>
      </right>
      <top style="thin"/>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thin"/>
    </border>
    <border>
      <left>
        <color indexed="63"/>
      </left>
      <right style="hair"/>
      <top style="thin"/>
      <bottom>
        <color indexed="63"/>
      </bottom>
    </border>
    <border>
      <left style="hair"/>
      <right style="double"/>
      <top style="thin"/>
      <bottom style="thin"/>
    </border>
    <border>
      <left style="hair"/>
      <right style="double"/>
      <top style="hair"/>
      <bottom style="hair"/>
    </border>
    <border>
      <left style="thin">
        <color theme="1"/>
      </left>
      <right style="dashed">
        <color theme="1"/>
      </right>
      <top style="dashed">
        <color theme="1"/>
      </top>
      <bottom style="dashed">
        <color theme="1"/>
      </bottom>
    </border>
    <border>
      <left style="dashed">
        <color theme="1"/>
      </left>
      <right style="dashed">
        <color theme="1"/>
      </right>
      <top style="dashed">
        <color theme="1"/>
      </top>
      <bottom style="dashed">
        <color theme="1"/>
      </bottom>
    </border>
    <border>
      <left style="thin">
        <color theme="1"/>
      </left>
      <right style="dashed">
        <color theme="1"/>
      </right>
      <top style="dashed">
        <color theme="1"/>
      </top>
      <bottom style="thin">
        <color theme="1"/>
      </bottom>
    </border>
    <border>
      <left style="dashed">
        <color theme="1"/>
      </left>
      <right style="dashed">
        <color theme="1"/>
      </right>
      <top style="dashed">
        <color theme="1"/>
      </top>
      <bottom style="thin">
        <color theme="1"/>
      </bottom>
    </border>
    <border>
      <left style="medium"/>
      <right/>
      <top/>
      <bottom/>
    </border>
    <border>
      <left/>
      <right style="medium"/>
      <top/>
      <bottom/>
    </border>
    <border>
      <left style="medium"/>
      <right/>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style="thin"/>
      <top/>
      <bottom/>
    </border>
    <border>
      <left style="thin"/>
      <right style="hair"/>
      <top style="hair"/>
      <bottom style="hair"/>
    </border>
    <border>
      <left style="thin"/>
      <right style="thin"/>
      <top style="hair"/>
      <bottom style="hair"/>
    </border>
    <border>
      <left style="thin"/>
      <right style="hair"/>
      <top style="hair"/>
      <bottom/>
    </border>
    <border>
      <left style="thin"/>
      <right style="thin"/>
      <top style="hair"/>
      <bottom/>
    </border>
    <border>
      <left style="hair"/>
      <right style="hair"/>
      <top style="hair"/>
      <bottom/>
    </border>
    <border>
      <left style="medium"/>
      <right style="thin"/>
      <top/>
      <bottom style="thin"/>
    </border>
    <border>
      <left style="thin"/>
      <right style="thin"/>
      <top style="hair"/>
      <bottom style="thin"/>
    </border>
    <border>
      <left style="thin"/>
      <right style="thin"/>
      <top/>
      <bottom style="hair"/>
    </border>
    <border>
      <left style="medium"/>
      <right/>
      <top style="thin"/>
      <bottom/>
    </border>
    <border>
      <left style="medium"/>
      <right/>
      <top/>
      <bottom style="medium"/>
    </border>
    <border>
      <left/>
      <right/>
      <top/>
      <bottom style="medium"/>
    </border>
    <border>
      <left>
        <color indexed="63"/>
      </left>
      <right>
        <color indexed="63"/>
      </right>
      <top>
        <color indexed="63"/>
      </top>
      <bottom style="thin">
        <color theme="1"/>
      </bottom>
    </border>
    <border>
      <left style="dashed">
        <color theme="1"/>
      </left>
      <right style="thin">
        <color theme="1"/>
      </right>
      <top style="dashed">
        <color theme="1"/>
      </top>
      <bottom style="dashed">
        <color theme="1"/>
      </bottom>
    </border>
    <border>
      <left style="dashed">
        <color theme="1"/>
      </left>
      <right style="dashed">
        <color theme="1"/>
      </right>
      <top style="thin">
        <color theme="1"/>
      </top>
      <bottom style="dashed">
        <color theme="1"/>
      </bottom>
    </border>
    <border>
      <left style="dashed">
        <color theme="1"/>
      </left>
      <right style="thin">
        <color theme="1"/>
      </right>
      <top style="thin">
        <color theme="1"/>
      </top>
      <bottom style="dashed">
        <color theme="1"/>
      </bottom>
    </border>
    <border>
      <left style="thin">
        <color theme="1"/>
      </left>
      <right style="dashed">
        <color theme="1"/>
      </right>
      <top style="thin">
        <color theme="1"/>
      </top>
      <bottom style="dashed">
        <color theme="1"/>
      </bottom>
    </border>
    <border>
      <left style="dashed">
        <color theme="1"/>
      </left>
      <right style="thin">
        <color theme="1"/>
      </right>
      <top style="dashed">
        <color theme="1"/>
      </top>
      <bottom style="thin">
        <color theme="1"/>
      </botto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double"/>
      <bottom style="thin"/>
    </border>
    <border>
      <left style="thin"/>
      <right style="double"/>
      <top style="double"/>
      <bottom style="thin"/>
    </border>
    <border>
      <left style="double"/>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hair"/>
      <right style="double"/>
      <top>
        <color indexed="63"/>
      </top>
      <bottom>
        <color indexed="63"/>
      </bottom>
    </border>
    <border>
      <left style="hair"/>
      <right style="double"/>
      <top>
        <color indexed="63"/>
      </top>
      <bottom style="hair"/>
    </border>
    <border>
      <left style="double"/>
      <right>
        <color indexed="63"/>
      </right>
      <top style="thin"/>
      <bottom>
        <color indexed="63"/>
      </bottom>
    </border>
    <border>
      <left style="hair"/>
      <right style="double"/>
      <top style="hair"/>
      <bottom>
        <color indexed="63"/>
      </bottom>
    </border>
    <border>
      <left style="hair"/>
      <right style="double"/>
      <top>
        <color indexed="63"/>
      </top>
      <bottom style="thin"/>
    </border>
    <border>
      <left style="double"/>
      <right>
        <color indexed="63"/>
      </right>
      <top style="medium"/>
      <bottom style="medium"/>
    </border>
    <border>
      <left>
        <color indexed="63"/>
      </left>
      <right style="double"/>
      <top style="medium"/>
      <bottom style="medium"/>
    </border>
    <border>
      <left style="double"/>
      <right>
        <color indexed="63"/>
      </right>
      <top style="thin"/>
      <bottom style="hair"/>
    </border>
    <border>
      <left style="hair"/>
      <right/>
      <top/>
      <bottom/>
    </border>
    <border>
      <left/>
      <right style="medium"/>
      <top/>
      <bottom style="medium"/>
    </border>
    <border>
      <left style="thin"/>
      <right style="thin"/>
      <top/>
      <bottom/>
    </border>
    <border>
      <left style="thin"/>
      <right style="medium"/>
      <top/>
      <bottom/>
    </border>
    <border>
      <left/>
      <right style="medium"/>
      <top style="thin"/>
      <bottom/>
    </border>
    <border>
      <left style="medium"/>
      <right/>
      <top/>
      <bottom style="thin"/>
    </border>
    <border>
      <left/>
      <right style="medium"/>
      <top/>
      <bottom style="thin"/>
    </border>
    <border>
      <left style="hair"/>
      <right style="medium"/>
      <top style="hair"/>
      <bottom style="hair"/>
    </border>
    <border>
      <left style="hair"/>
      <right style="medium"/>
      <top style="hair"/>
      <bottom/>
    </border>
    <border>
      <left/>
      <right style="medium"/>
      <top/>
      <bottom style="hair"/>
    </border>
    <border>
      <left/>
      <right style="medium"/>
      <top style="hair"/>
      <bottom/>
    </border>
    <border>
      <left/>
      <right style="medium"/>
      <top style="hair"/>
      <bottom style="hair"/>
    </border>
    <border>
      <left/>
      <right/>
      <top/>
      <bottom style="hair"/>
    </border>
    <border>
      <left/>
      <right style="medium"/>
      <top style="thin"/>
      <bottom style="hair"/>
    </border>
    <border>
      <left/>
      <right style="medium"/>
      <top style="hair"/>
      <bottom style="thin"/>
    </border>
    <border>
      <left/>
      <right style="medium"/>
      <top style="thin"/>
      <bottom style="thin"/>
    </border>
    <border>
      <left style="thin"/>
      <right style="hair"/>
      <top/>
      <bottom style="hair"/>
    </border>
    <border>
      <left style="hair"/>
      <right/>
      <top style="hair"/>
      <bottom/>
    </border>
    <border>
      <left style="hair"/>
      <right/>
      <top/>
      <bottom style="hair"/>
    </border>
    <border>
      <left style="medium"/>
      <right/>
      <top style="medium"/>
      <bottom/>
    </border>
    <border>
      <left/>
      <right style="medium"/>
      <top style="medium"/>
      <bottom/>
    </border>
    <border>
      <left style="double"/>
      <right>
        <color indexed="63"/>
      </right>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7" fillId="19" borderId="0" applyNumberFormat="0" applyBorder="0" applyAlignment="0" applyProtection="0"/>
    <xf numFmtId="0" fontId="137" fillId="20" borderId="0" applyNumberFormat="0" applyBorder="0" applyAlignment="0" applyProtection="0"/>
    <xf numFmtId="0" fontId="137" fillId="21" borderId="0" applyNumberFormat="0" applyBorder="0" applyAlignment="0" applyProtection="0"/>
    <xf numFmtId="0" fontId="137" fillId="22" borderId="0" applyNumberFormat="0" applyBorder="0" applyAlignment="0" applyProtection="0"/>
    <xf numFmtId="0" fontId="137" fillId="23" borderId="0" applyNumberFormat="0" applyBorder="0" applyAlignment="0" applyProtection="0"/>
    <xf numFmtId="0" fontId="137" fillId="24" borderId="0" applyNumberFormat="0" applyBorder="0" applyAlignment="0" applyProtection="0"/>
    <xf numFmtId="0" fontId="137" fillId="25" borderId="0" applyNumberFormat="0" applyBorder="0" applyAlignment="0" applyProtection="0"/>
    <xf numFmtId="0" fontId="138" fillId="26" borderId="0" applyNumberFormat="0" applyBorder="0" applyAlignment="0" applyProtection="0"/>
    <xf numFmtId="0" fontId="139" fillId="27" borderId="1" applyNumberFormat="0" applyAlignment="0" applyProtection="0"/>
    <xf numFmtId="0" fontId="1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3" fillId="29" borderId="0" applyNumberFormat="0" applyBorder="0" applyAlignment="0" applyProtection="0"/>
    <xf numFmtId="0" fontId="144" fillId="0" borderId="3" applyNumberFormat="0" applyFill="0" applyAlignment="0" applyProtection="0"/>
    <xf numFmtId="0" fontId="145" fillId="0" borderId="4" applyNumberFormat="0" applyFill="0" applyAlignment="0" applyProtection="0"/>
    <xf numFmtId="0" fontId="146" fillId="0" borderId="5" applyNumberFormat="0" applyFill="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8" fillId="30" borderId="1" applyNumberFormat="0" applyAlignment="0" applyProtection="0"/>
    <xf numFmtId="0" fontId="149" fillId="0" borderId="6" applyNumberFormat="0" applyFill="0" applyAlignment="0" applyProtection="0"/>
    <xf numFmtId="0" fontId="150" fillId="31" borderId="0" applyNumberFormat="0" applyBorder="0" applyAlignment="0" applyProtection="0"/>
    <xf numFmtId="0" fontId="9" fillId="0" borderId="0">
      <alignment/>
      <protection/>
    </xf>
    <xf numFmtId="0" fontId="0" fillId="32" borderId="7" applyNumberFormat="0" applyFont="0" applyAlignment="0" applyProtection="0"/>
    <xf numFmtId="0" fontId="151" fillId="27" borderId="8" applyNumberFormat="0" applyAlignment="0" applyProtection="0"/>
    <xf numFmtId="9" fontId="0" fillId="0" borderId="0" applyFont="0" applyFill="0" applyBorder="0" applyAlignment="0" applyProtection="0"/>
    <xf numFmtId="0" fontId="152" fillId="0" borderId="0" applyNumberFormat="0" applyFill="0" applyBorder="0" applyAlignment="0" applyProtection="0"/>
    <xf numFmtId="0" fontId="153" fillId="0" borderId="9" applyNumberFormat="0" applyFill="0" applyAlignment="0" applyProtection="0"/>
    <xf numFmtId="0" fontId="154" fillId="0" borderId="0" applyNumberFormat="0" applyFill="0" applyBorder="0" applyAlignment="0" applyProtection="0"/>
  </cellStyleXfs>
  <cellXfs count="981">
    <xf numFmtId="0" fontId="0" fillId="0" borderId="0" xfId="0" applyFont="1" applyAlignment="1">
      <alignment/>
    </xf>
    <xf numFmtId="0" fontId="15" fillId="0" borderId="10"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5" fillId="0" borderId="11" xfId="0" applyFont="1" applyBorder="1" applyAlignment="1" applyProtection="1">
      <alignment horizontal="center"/>
      <protection hidden="1"/>
    </xf>
    <xf numFmtId="0" fontId="14" fillId="0" borderId="12" xfId="0" applyFont="1" applyBorder="1" applyAlignment="1" applyProtection="1">
      <alignment horizontal="center"/>
      <protection hidden="1"/>
    </xf>
    <xf numFmtId="0" fontId="14" fillId="0" borderId="13" xfId="0" applyFont="1" applyBorder="1" applyAlignment="1" applyProtection="1">
      <alignment horizontal="center"/>
      <protection hidden="1"/>
    </xf>
    <xf numFmtId="0" fontId="5" fillId="0" borderId="0" xfId="0" applyFont="1" applyFill="1" applyBorder="1" applyAlignment="1" applyProtection="1">
      <alignment horizontal="left"/>
      <protection hidden="1"/>
    </xf>
    <xf numFmtId="0" fontId="16" fillId="0" borderId="0" xfId="0" applyFont="1" applyBorder="1" applyAlignment="1" applyProtection="1">
      <alignment horizontal="left"/>
      <protection hidden="1"/>
    </xf>
    <xf numFmtId="0" fontId="16" fillId="0" borderId="0" xfId="0" applyFont="1" applyBorder="1" applyAlignment="1" applyProtection="1">
      <alignment/>
      <protection hidden="1"/>
    </xf>
    <xf numFmtId="0" fontId="5" fillId="0" borderId="0" xfId="0" applyFont="1" applyBorder="1" applyAlignment="1" applyProtection="1">
      <alignment/>
      <protection hidden="1"/>
    </xf>
    <xf numFmtId="0" fontId="11" fillId="0" borderId="0" xfId="0" applyFont="1" applyBorder="1" applyAlignment="1" applyProtection="1">
      <alignment horizontal="left"/>
      <protection hidden="1"/>
    </xf>
    <xf numFmtId="0" fontId="5" fillId="0" borderId="13" xfId="0" applyFont="1" applyBorder="1" applyAlignment="1" applyProtection="1">
      <alignment horizontal="right"/>
      <protection hidden="1"/>
    </xf>
    <xf numFmtId="41" fontId="5" fillId="0" borderId="13" xfId="0" applyNumberFormat="1" applyFont="1" applyBorder="1" applyAlignment="1" applyProtection="1">
      <alignment horizontal="center"/>
      <protection hidden="1"/>
    </xf>
    <xf numFmtId="0" fontId="14" fillId="0" borderId="11" xfId="0" applyFont="1" applyBorder="1" applyAlignment="1" applyProtection="1">
      <alignment/>
      <protection hidden="1"/>
    </xf>
    <xf numFmtId="0" fontId="5" fillId="0" borderId="0" xfId="0" applyFont="1" applyBorder="1" applyAlignment="1" applyProtection="1">
      <alignment/>
      <protection hidden="1"/>
    </xf>
    <xf numFmtId="0" fontId="16" fillId="0" borderId="14" xfId="0" applyFont="1" applyBorder="1" applyAlignment="1" applyProtection="1">
      <alignment/>
      <protection hidden="1"/>
    </xf>
    <xf numFmtId="0" fontId="14" fillId="0" borderId="15" xfId="0" applyFont="1" applyBorder="1" applyAlignment="1" applyProtection="1">
      <alignment horizontal="center"/>
      <protection hidden="1"/>
    </xf>
    <xf numFmtId="0" fontId="14" fillId="0" borderId="14" xfId="0" applyFont="1" applyBorder="1" applyAlignment="1" applyProtection="1">
      <alignment horizontal="center"/>
      <protection hidden="1"/>
    </xf>
    <xf numFmtId="41" fontId="14" fillId="0" borderId="0" xfId="0" applyNumberFormat="1" applyFont="1" applyBorder="1" applyAlignment="1" applyProtection="1">
      <alignment horizontal="center"/>
      <protection hidden="1"/>
    </xf>
    <xf numFmtId="0" fontId="5" fillId="0" borderId="0" xfId="0" applyFont="1" applyFill="1" applyBorder="1" applyAlignment="1" applyProtection="1">
      <alignment/>
      <protection hidden="1"/>
    </xf>
    <xf numFmtId="0" fontId="16"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16" fillId="0" borderId="10" xfId="0" applyFont="1" applyFill="1" applyBorder="1" applyAlignment="1" applyProtection="1">
      <alignment/>
      <protection hidden="1"/>
    </xf>
    <xf numFmtId="0" fontId="16" fillId="0" borderId="16" xfId="0" applyFont="1" applyFill="1" applyBorder="1" applyAlignment="1" applyProtection="1">
      <alignment/>
      <protection hidden="1"/>
    </xf>
    <xf numFmtId="0" fontId="16" fillId="0" borderId="17" xfId="0" applyFont="1" applyFill="1" applyBorder="1" applyAlignment="1" applyProtection="1">
      <alignment horizontal="center"/>
      <protection hidden="1"/>
    </xf>
    <xf numFmtId="0" fontId="16" fillId="0" borderId="18" xfId="0" applyFont="1" applyFill="1" applyBorder="1" applyAlignment="1" applyProtection="1">
      <alignment horizontal="center"/>
      <protection hidden="1"/>
    </xf>
    <xf numFmtId="0" fontId="16" fillId="0" borderId="19" xfId="0" applyFont="1" applyFill="1" applyBorder="1" applyAlignment="1" applyProtection="1">
      <alignment horizontal="center"/>
      <protection hidden="1"/>
    </xf>
    <xf numFmtId="0" fontId="16" fillId="0" borderId="20" xfId="0" applyFont="1" applyFill="1" applyBorder="1" applyAlignment="1" applyProtection="1">
      <alignment horizontal="center"/>
      <protection hidden="1"/>
    </xf>
    <xf numFmtId="0" fontId="5" fillId="0" borderId="10" xfId="0" applyFont="1" applyFill="1" applyBorder="1" applyAlignment="1" applyProtection="1">
      <alignment/>
      <protection hidden="1"/>
    </xf>
    <xf numFmtId="0" fontId="5" fillId="0" borderId="16" xfId="0" applyFont="1" applyFill="1" applyBorder="1" applyAlignment="1" applyProtection="1">
      <alignment/>
      <protection hidden="1"/>
    </xf>
    <xf numFmtId="0" fontId="5" fillId="0" borderId="16" xfId="0" applyFont="1" applyFill="1" applyBorder="1" applyAlignment="1" applyProtection="1">
      <alignment/>
      <protection hidden="1"/>
    </xf>
    <xf numFmtId="0" fontId="5" fillId="0" borderId="16" xfId="0" applyFont="1" applyFill="1" applyBorder="1" applyAlignment="1" applyProtection="1">
      <alignment horizontal="left"/>
      <protection hidden="1"/>
    </xf>
    <xf numFmtId="49" fontId="5" fillId="0" borderId="0" xfId="0" applyNumberFormat="1" applyFont="1" applyFill="1" applyBorder="1" applyAlignment="1" applyProtection="1">
      <alignment horizontal="left"/>
      <protection hidden="1"/>
    </xf>
    <xf numFmtId="41" fontId="14" fillId="0" borderId="21" xfId="0" applyNumberFormat="1" applyFont="1" applyBorder="1" applyAlignment="1" applyProtection="1">
      <alignment/>
      <protection hidden="1"/>
    </xf>
    <xf numFmtId="41" fontId="14" fillId="0" borderId="16" xfId="0" applyNumberFormat="1" applyFont="1" applyBorder="1" applyAlignment="1" applyProtection="1">
      <alignment/>
      <protection hidden="1"/>
    </xf>
    <xf numFmtId="0" fontId="4" fillId="0" borderId="0" xfId="0" applyFont="1" applyAlignment="1" applyProtection="1">
      <alignment vertical="center"/>
      <protection hidden="1" locked="0"/>
    </xf>
    <xf numFmtId="0" fontId="4" fillId="0" borderId="0" xfId="0" applyFont="1" applyAlignment="1" applyProtection="1">
      <alignment horizontal="center" vertical="center"/>
      <protection hidden="1" locked="0"/>
    </xf>
    <xf numFmtId="0" fontId="4" fillId="0" borderId="20" xfId="0" applyFont="1" applyBorder="1" applyAlignment="1" applyProtection="1">
      <alignment horizontal="center" vertical="center" wrapText="1"/>
      <protection hidden="1" locked="0"/>
    </xf>
    <xf numFmtId="0" fontId="4" fillId="0" borderId="20" xfId="0" applyFont="1" applyBorder="1" applyAlignment="1" applyProtection="1">
      <alignment horizontal="center" vertical="center"/>
      <protection hidden="1" locked="0"/>
    </xf>
    <xf numFmtId="17" fontId="4" fillId="0" borderId="20" xfId="0" applyNumberFormat="1" applyFont="1" applyBorder="1" applyAlignment="1" applyProtection="1">
      <alignment horizontal="center" vertical="center"/>
      <protection hidden="1" locked="0"/>
    </xf>
    <xf numFmtId="1" fontId="5" fillId="0" borderId="20" xfId="0" applyNumberFormat="1" applyFont="1" applyBorder="1" applyAlignment="1" applyProtection="1">
      <alignment horizontal="center" vertical="center" wrapText="1"/>
      <protection hidden="1" locked="0"/>
    </xf>
    <xf numFmtId="0" fontId="5" fillId="0" borderId="20" xfId="0" applyFont="1" applyBorder="1" applyAlignment="1" applyProtection="1">
      <alignment horizontal="center" vertical="center"/>
      <protection hidden="1" locked="0"/>
    </xf>
    <xf numFmtId="0" fontId="26" fillId="0" borderId="18" xfId="0" applyFont="1" applyBorder="1" applyAlignment="1" applyProtection="1">
      <alignment horizontal="center" vertical="center" wrapText="1"/>
      <protection hidden="1" locked="0"/>
    </xf>
    <xf numFmtId="1" fontId="4" fillId="0" borderId="20" xfId="0" applyNumberFormat="1" applyFont="1" applyBorder="1" applyAlignment="1" applyProtection="1">
      <alignment horizontal="center" vertical="center"/>
      <protection hidden="1" locked="0"/>
    </xf>
    <xf numFmtId="0" fontId="6" fillId="0" borderId="20" xfId="0" applyFont="1" applyBorder="1" applyAlignment="1" applyProtection="1">
      <alignment horizontal="center" vertical="center" wrapText="1"/>
      <protection hidden="1" locked="0"/>
    </xf>
    <xf numFmtId="0" fontId="6" fillId="0" borderId="18" xfId="0" applyFont="1" applyBorder="1" applyAlignment="1" applyProtection="1">
      <alignment vertical="center" wrapText="1"/>
      <protection hidden="1" locked="0"/>
    </xf>
    <xf numFmtId="0" fontId="6" fillId="0" borderId="22" xfId="0" applyFont="1" applyBorder="1" applyAlignment="1" applyProtection="1">
      <alignment vertical="center" wrapText="1"/>
      <protection hidden="1" locked="0"/>
    </xf>
    <xf numFmtId="0" fontId="4" fillId="0" borderId="20" xfId="0" applyFont="1" applyBorder="1" applyAlignment="1" applyProtection="1">
      <alignment horizontal="left" vertical="center" wrapText="1"/>
      <protection hidden="1" locked="0"/>
    </xf>
    <xf numFmtId="0" fontId="0" fillId="0" borderId="0" xfId="0" applyAlignment="1" applyProtection="1">
      <alignment/>
      <protection hidden="1" locked="0"/>
    </xf>
    <xf numFmtId="0" fontId="0" fillId="0" borderId="0" xfId="0" applyAlignment="1" applyProtection="1">
      <alignment/>
      <protection hidden="1"/>
    </xf>
    <xf numFmtId="0" fontId="14" fillId="0" borderId="23" xfId="0" applyFont="1" applyBorder="1" applyAlignment="1" applyProtection="1">
      <alignment vertical="center"/>
      <protection hidden="1" locked="0"/>
    </xf>
    <xf numFmtId="0" fontId="5" fillId="0" borderId="22" xfId="0" applyFont="1" applyBorder="1" applyAlignment="1" applyProtection="1">
      <alignment vertical="center"/>
      <protection hidden="1" locked="0"/>
    </xf>
    <xf numFmtId="0" fontId="5" fillId="0" borderId="22" xfId="0" applyFont="1" applyBorder="1" applyAlignment="1" applyProtection="1">
      <alignment horizontal="center" vertical="center"/>
      <protection hidden="1" locked="0"/>
    </xf>
    <xf numFmtId="0" fontId="14" fillId="0" borderId="22" xfId="0" applyFont="1" applyBorder="1" applyAlignment="1" applyProtection="1">
      <alignment vertical="center"/>
      <protection hidden="1" locked="0"/>
    </xf>
    <xf numFmtId="0" fontId="14" fillId="0" borderId="22" xfId="0" applyFont="1" applyBorder="1" applyAlignment="1" applyProtection="1">
      <alignment horizontal="right" vertical="center"/>
      <protection hidden="1" locked="0"/>
    </xf>
    <xf numFmtId="0" fontId="14" fillId="0" borderId="22" xfId="0" applyFont="1" applyBorder="1" applyAlignment="1" applyProtection="1">
      <alignment horizontal="left" vertical="center" wrapText="1"/>
      <protection hidden="1" locked="0"/>
    </xf>
    <xf numFmtId="0" fontId="14" fillId="0" borderId="24" xfId="0" applyFont="1" applyBorder="1" applyAlignment="1" applyProtection="1">
      <alignment vertical="center" shrinkToFit="1"/>
      <protection hidden="1" locked="0"/>
    </xf>
    <xf numFmtId="0" fontId="15" fillId="0" borderId="10" xfId="0" applyFont="1" applyBorder="1" applyAlignment="1" applyProtection="1">
      <alignment horizontal="center"/>
      <protection hidden="1" locked="0"/>
    </xf>
    <xf numFmtId="0" fontId="16" fillId="0" borderId="25" xfId="0" applyFont="1" applyBorder="1" applyAlignment="1" applyProtection="1">
      <alignment/>
      <protection hidden="1" locked="0"/>
    </xf>
    <xf numFmtId="0" fontId="15" fillId="0" borderId="26" xfId="0" applyFont="1" applyBorder="1" applyAlignment="1" applyProtection="1">
      <alignment horizontal="left" vertical="center"/>
      <protection hidden="1" locked="0"/>
    </xf>
    <xf numFmtId="0" fontId="15" fillId="0" borderId="0" xfId="0" applyFont="1" applyBorder="1" applyAlignment="1" applyProtection="1">
      <alignment horizontal="left"/>
      <protection hidden="1" locked="0"/>
    </xf>
    <xf numFmtId="0" fontId="14" fillId="0" borderId="27" xfId="0" applyFont="1" applyBorder="1" applyAlignment="1" applyProtection="1">
      <alignment horizontal="center"/>
      <protection hidden="1" locked="0"/>
    </xf>
    <xf numFmtId="0" fontId="14" fillId="0" borderId="28" xfId="0" applyFont="1" applyBorder="1" applyAlignment="1" applyProtection="1">
      <alignment horizontal="center"/>
      <protection hidden="1" locked="0"/>
    </xf>
    <xf numFmtId="0" fontId="14" fillId="0" borderId="11" xfId="0" applyFont="1" applyBorder="1" applyAlignment="1" applyProtection="1">
      <alignment horizontal="center"/>
      <protection hidden="1" locked="0"/>
    </xf>
    <xf numFmtId="0" fontId="14" fillId="0" borderId="0" xfId="0" applyFont="1" applyBorder="1" applyAlignment="1" applyProtection="1">
      <alignment horizontal="center"/>
      <protection hidden="1" locked="0"/>
    </xf>
    <xf numFmtId="41" fontId="14" fillId="0" borderId="16" xfId="0" applyNumberFormat="1" applyFont="1" applyBorder="1" applyAlignment="1" applyProtection="1">
      <alignment/>
      <protection hidden="1" locked="0"/>
    </xf>
    <xf numFmtId="0" fontId="5" fillId="0" borderId="11" xfId="0" applyFont="1" applyBorder="1" applyAlignment="1" applyProtection="1">
      <alignment horizontal="center"/>
      <protection hidden="1" locked="0"/>
    </xf>
    <xf numFmtId="0" fontId="14" fillId="0" borderId="12" xfId="0" applyFont="1" applyBorder="1" applyAlignment="1" applyProtection="1">
      <alignment horizontal="center"/>
      <protection hidden="1" locked="0"/>
    </xf>
    <xf numFmtId="0" fontId="14" fillId="0" borderId="13" xfId="0" applyFont="1" applyBorder="1" applyAlignment="1" applyProtection="1">
      <alignment horizontal="center"/>
      <protection hidden="1" locked="0"/>
    </xf>
    <xf numFmtId="41" fontId="14" fillId="0" borderId="21" xfId="0" applyNumberFormat="1" applyFont="1" applyBorder="1" applyAlignment="1" applyProtection="1">
      <alignment/>
      <protection hidden="1" locked="0"/>
    </xf>
    <xf numFmtId="0" fontId="16" fillId="0" borderId="0" xfId="0" applyFont="1" applyBorder="1" applyAlignment="1" applyProtection="1">
      <alignment horizontal="left"/>
      <protection hidden="1" locked="0"/>
    </xf>
    <xf numFmtId="41" fontId="0" fillId="0" borderId="0" xfId="0" applyNumberFormat="1" applyAlignment="1" applyProtection="1">
      <alignment/>
      <protection hidden="1" locked="0"/>
    </xf>
    <xf numFmtId="0" fontId="5" fillId="0" borderId="0" xfId="0" applyFont="1" applyFill="1" applyBorder="1" applyAlignment="1" applyProtection="1">
      <alignment horizontal="left"/>
      <protection hidden="1" locked="0"/>
    </xf>
    <xf numFmtId="0" fontId="0" fillId="0" borderId="16" xfId="0" applyBorder="1" applyAlignment="1" applyProtection="1">
      <alignment horizontal="right"/>
      <protection hidden="1" locked="0"/>
    </xf>
    <xf numFmtId="0" fontId="155" fillId="0" borderId="0" xfId="0" applyFont="1" applyAlignment="1" applyProtection="1">
      <alignment/>
      <protection hidden="1" locked="0"/>
    </xf>
    <xf numFmtId="0" fontId="5" fillId="0" borderId="0" xfId="0" applyFont="1" applyBorder="1" applyAlignment="1" applyProtection="1">
      <alignment/>
      <protection hidden="1" locked="0"/>
    </xf>
    <xf numFmtId="0" fontId="5" fillId="0" borderId="29" xfId="0" applyFont="1" applyBorder="1" applyAlignment="1" applyProtection="1">
      <alignment/>
      <protection hidden="1" locked="0"/>
    </xf>
    <xf numFmtId="41" fontId="14" fillId="0" borderId="16" xfId="0" applyNumberFormat="1" applyFont="1" applyBorder="1" applyAlignment="1" applyProtection="1">
      <alignment horizontal="right"/>
      <protection hidden="1" locked="0"/>
    </xf>
    <xf numFmtId="0" fontId="17" fillId="0" borderId="0" xfId="0" applyFont="1" applyBorder="1" applyAlignment="1" applyProtection="1">
      <alignment horizontal="right"/>
      <protection hidden="1" locked="0"/>
    </xf>
    <xf numFmtId="0" fontId="16" fillId="0" borderId="0" xfId="0" applyFont="1" applyBorder="1" applyAlignment="1" applyProtection="1">
      <alignment/>
      <protection hidden="1" locked="0"/>
    </xf>
    <xf numFmtId="41" fontId="14" fillId="0" borderId="21" xfId="0" applyNumberFormat="1" applyFont="1" applyBorder="1" applyAlignment="1" applyProtection="1">
      <alignment vertical="center"/>
      <protection hidden="1" locked="0"/>
    </xf>
    <xf numFmtId="0" fontId="16" fillId="0" borderId="0" xfId="0" applyFont="1" applyBorder="1" applyAlignment="1" applyProtection="1">
      <alignment horizontal="right"/>
      <protection hidden="1" locked="0"/>
    </xf>
    <xf numFmtId="0" fontId="5" fillId="0" borderId="11" xfId="0" applyFont="1" applyFill="1" applyBorder="1" applyAlignment="1" applyProtection="1">
      <alignment horizontal="center"/>
      <protection hidden="1" locked="0"/>
    </xf>
    <xf numFmtId="0" fontId="14" fillId="0" borderId="30" xfId="0" applyFont="1" applyBorder="1" applyAlignment="1" applyProtection="1">
      <alignment horizontal="center"/>
      <protection hidden="1" locked="0"/>
    </xf>
    <xf numFmtId="0" fontId="14" fillId="0" borderId="31" xfId="0" applyFont="1" applyBorder="1" applyAlignment="1" applyProtection="1">
      <alignment horizontal="center"/>
      <protection hidden="1" locked="0"/>
    </xf>
    <xf numFmtId="0" fontId="15" fillId="0" borderId="11" xfId="0" applyFont="1" applyBorder="1" applyAlignment="1" applyProtection="1">
      <alignment/>
      <protection hidden="1" locked="0"/>
    </xf>
    <xf numFmtId="0" fontId="15" fillId="0" borderId="0" xfId="0" applyFont="1" applyBorder="1" applyAlignment="1" applyProtection="1">
      <alignment/>
      <protection hidden="1" locked="0"/>
    </xf>
    <xf numFmtId="0" fontId="13" fillId="0" borderId="0" xfId="0" applyFont="1" applyBorder="1" applyAlignment="1" applyProtection="1">
      <alignment/>
      <protection hidden="1" locked="0"/>
    </xf>
    <xf numFmtId="0" fontId="14" fillId="0" borderId="18" xfId="0" applyFont="1" applyBorder="1" applyAlignment="1" applyProtection="1">
      <alignment horizontal="center"/>
      <protection hidden="1" locked="0"/>
    </xf>
    <xf numFmtId="0" fontId="14" fillId="0" borderId="22" xfId="0" applyFont="1" applyBorder="1" applyAlignment="1" applyProtection="1">
      <alignment horizontal="center"/>
      <protection hidden="1" locked="0"/>
    </xf>
    <xf numFmtId="0" fontId="16" fillId="0" borderId="29" xfId="0" applyFont="1" applyBorder="1" applyAlignment="1" applyProtection="1">
      <alignment/>
      <protection hidden="1" locked="0"/>
    </xf>
    <xf numFmtId="0" fontId="14" fillId="0" borderId="12" xfId="0" applyFont="1" applyBorder="1" applyAlignment="1" applyProtection="1">
      <alignment horizontal="center" vertical="center"/>
      <protection hidden="1" locked="0"/>
    </xf>
    <xf numFmtId="0" fontId="14" fillId="0" borderId="13" xfId="0" applyFont="1" applyBorder="1" applyAlignment="1" applyProtection="1">
      <alignment horizontal="center" vertical="center"/>
      <protection hidden="1" locked="0"/>
    </xf>
    <xf numFmtId="0" fontId="14" fillId="0" borderId="28" xfId="0" applyFont="1" applyBorder="1" applyAlignment="1" applyProtection="1">
      <alignment horizontal="center" vertical="center"/>
      <protection hidden="1" locked="0"/>
    </xf>
    <xf numFmtId="0" fontId="16" fillId="0" borderId="0" xfId="0" applyFont="1" applyFill="1" applyBorder="1" applyAlignment="1" applyProtection="1">
      <alignment horizontal="left"/>
      <protection hidden="1" locked="0"/>
    </xf>
    <xf numFmtId="41" fontId="14" fillId="0" borderId="32" xfId="0" applyNumberFormat="1" applyFont="1" applyBorder="1" applyAlignment="1" applyProtection="1">
      <alignment vertical="center"/>
      <protection hidden="1" locked="0"/>
    </xf>
    <xf numFmtId="0" fontId="16" fillId="0" borderId="0" xfId="0" applyFont="1" applyFill="1" applyBorder="1" applyAlignment="1" applyProtection="1">
      <alignment/>
      <protection hidden="1" locked="0"/>
    </xf>
    <xf numFmtId="41" fontId="14" fillId="0" borderId="33" xfId="0" applyNumberFormat="1" applyFont="1" applyBorder="1" applyAlignment="1" applyProtection="1">
      <alignment vertical="center"/>
      <protection hidden="1" locked="0"/>
    </xf>
    <xf numFmtId="41" fontId="14" fillId="0" borderId="34" xfId="0" applyNumberFormat="1" applyFont="1" applyBorder="1" applyAlignment="1" applyProtection="1">
      <alignment/>
      <protection hidden="1" locked="0"/>
    </xf>
    <xf numFmtId="41" fontId="14" fillId="0" borderId="21" xfId="0" applyNumberFormat="1" applyFont="1" applyBorder="1" applyAlignment="1" applyProtection="1">
      <alignment/>
      <protection hidden="1" locked="0"/>
    </xf>
    <xf numFmtId="41" fontId="14" fillId="0" borderId="21" xfId="0" applyNumberFormat="1" applyFont="1" applyBorder="1" applyAlignment="1" applyProtection="1">
      <alignment horizontal="center" vertical="center"/>
      <protection hidden="1" locked="0"/>
    </xf>
    <xf numFmtId="0" fontId="14" fillId="0" borderId="13" xfId="0" applyFont="1" applyBorder="1" applyAlignment="1" applyProtection="1">
      <alignment/>
      <protection hidden="1" locked="0"/>
    </xf>
    <xf numFmtId="0" fontId="16" fillId="0" borderId="10" xfId="0" applyFont="1" applyBorder="1" applyAlignment="1" applyProtection="1">
      <alignment horizontal="center"/>
      <protection hidden="1"/>
    </xf>
    <xf numFmtId="3" fontId="14" fillId="0" borderId="16" xfId="0" applyNumberFormat="1" applyFont="1" applyBorder="1" applyAlignment="1" applyProtection="1">
      <alignment/>
      <protection hidden="1"/>
    </xf>
    <xf numFmtId="0" fontId="11" fillId="0" borderId="10" xfId="0" applyFont="1" applyBorder="1" applyAlignment="1" applyProtection="1">
      <alignment horizontal="right"/>
      <protection hidden="1"/>
    </xf>
    <xf numFmtId="0" fontId="11" fillId="0" borderId="10" xfId="0" applyFont="1" applyBorder="1" applyAlignment="1" applyProtection="1">
      <alignment horizontal="left"/>
      <protection hidden="1"/>
    </xf>
    <xf numFmtId="0" fontId="14" fillId="0" borderId="16" xfId="0" applyFont="1" applyBorder="1" applyAlignment="1" applyProtection="1">
      <alignment horizontal="center"/>
      <protection hidden="1"/>
    </xf>
    <xf numFmtId="0" fontId="14" fillId="0" borderId="0" xfId="0" applyFont="1" applyBorder="1" applyAlignment="1" applyProtection="1">
      <alignment/>
      <protection hidden="1"/>
    </xf>
    <xf numFmtId="3" fontId="14" fillId="0" borderId="0" xfId="0" applyNumberFormat="1" applyFont="1" applyBorder="1" applyAlignment="1" applyProtection="1">
      <alignment/>
      <protection hidden="1"/>
    </xf>
    <xf numFmtId="0" fontId="17" fillId="0" borderId="35" xfId="0" applyFont="1" applyFill="1" applyBorder="1" applyAlignment="1" applyProtection="1">
      <alignment/>
      <protection hidden="1"/>
    </xf>
    <xf numFmtId="0" fontId="27" fillId="0" borderId="36" xfId="0" applyFont="1" applyFill="1" applyBorder="1" applyAlignment="1" applyProtection="1">
      <alignment/>
      <protection hidden="1"/>
    </xf>
    <xf numFmtId="0" fontId="16" fillId="0" borderId="36" xfId="0" applyFont="1" applyFill="1" applyBorder="1" applyAlignment="1" applyProtection="1">
      <alignment/>
      <protection hidden="1"/>
    </xf>
    <xf numFmtId="0" fontId="16" fillId="0" borderId="37" xfId="0" applyFont="1" applyFill="1" applyBorder="1" applyAlignment="1" applyProtection="1">
      <alignment/>
      <protection hidden="1"/>
    </xf>
    <xf numFmtId="0" fontId="15" fillId="0" borderId="38" xfId="0" applyFont="1" applyFill="1" applyBorder="1" applyAlignment="1" applyProtection="1">
      <alignment horizontal="right"/>
      <protection hidden="1" locked="0"/>
    </xf>
    <xf numFmtId="0" fontId="16" fillId="0" borderId="39" xfId="0" applyFont="1" applyFill="1" applyBorder="1" applyAlignment="1" applyProtection="1">
      <alignment horizontal="center" vertical="center"/>
      <protection hidden="1" locked="0"/>
    </xf>
    <xf numFmtId="0" fontId="16" fillId="0" borderId="40" xfId="0" applyFont="1" applyFill="1" applyBorder="1" applyAlignment="1" applyProtection="1">
      <alignment/>
      <protection hidden="1" locked="0"/>
    </xf>
    <xf numFmtId="41" fontId="16" fillId="0" borderId="41" xfId="0" applyNumberFormat="1" applyFont="1" applyFill="1" applyBorder="1" applyAlignment="1" applyProtection="1">
      <alignment/>
      <protection hidden="1" locked="0"/>
    </xf>
    <xf numFmtId="0" fontId="15" fillId="0" borderId="42" xfId="0" applyFont="1" applyFill="1" applyBorder="1" applyAlignment="1" applyProtection="1">
      <alignment horizontal="center"/>
      <protection hidden="1" locked="0"/>
    </xf>
    <xf numFmtId="0" fontId="5" fillId="0" borderId="43" xfId="0" applyFont="1" applyFill="1" applyBorder="1" applyAlignment="1" applyProtection="1">
      <alignment horizontal="center" vertical="top"/>
      <protection hidden="1" locked="0"/>
    </xf>
    <xf numFmtId="0" fontId="16" fillId="0" borderId="0" xfId="0" applyFont="1" applyFill="1" applyBorder="1" applyAlignment="1" applyProtection="1">
      <alignment/>
      <protection hidden="1" locked="0"/>
    </xf>
    <xf numFmtId="41" fontId="16" fillId="0" borderId="16" xfId="0" applyNumberFormat="1" applyFont="1" applyFill="1" applyBorder="1" applyAlignment="1" applyProtection="1">
      <alignment/>
      <protection hidden="1" locked="0"/>
    </xf>
    <xf numFmtId="0" fontId="13" fillId="0" borderId="42" xfId="0" applyFont="1" applyFill="1" applyBorder="1" applyAlignment="1" applyProtection="1">
      <alignment/>
      <protection hidden="1" locked="0"/>
    </xf>
    <xf numFmtId="0" fontId="5" fillId="0" borderId="13" xfId="0" applyFont="1" applyFill="1" applyBorder="1" applyAlignment="1" applyProtection="1">
      <alignment/>
      <protection hidden="1" locked="0"/>
    </xf>
    <xf numFmtId="41" fontId="5" fillId="0" borderId="13" xfId="0" applyNumberFormat="1" applyFont="1" applyFill="1" applyBorder="1" applyAlignment="1" applyProtection="1">
      <alignment/>
      <protection hidden="1" locked="0"/>
    </xf>
    <xf numFmtId="41" fontId="5" fillId="0" borderId="44" xfId="0" applyNumberFormat="1" applyFont="1" applyFill="1" applyBorder="1" applyAlignment="1" applyProtection="1">
      <alignment/>
      <protection hidden="1" locked="0"/>
    </xf>
    <xf numFmtId="41" fontId="5" fillId="0" borderId="45" xfId="0" applyNumberFormat="1" applyFont="1" applyFill="1" applyBorder="1" applyAlignment="1" applyProtection="1">
      <alignment/>
      <protection hidden="1" locked="0"/>
    </xf>
    <xf numFmtId="0" fontId="5" fillId="0" borderId="0" xfId="0" applyFont="1" applyFill="1" applyBorder="1" applyAlignment="1" applyProtection="1">
      <alignment/>
      <protection hidden="1" locked="0"/>
    </xf>
    <xf numFmtId="0" fontId="15" fillId="0" borderId="0" xfId="0" applyFont="1" applyFill="1" applyBorder="1" applyAlignment="1" applyProtection="1">
      <alignment vertical="center"/>
      <protection hidden="1" locked="0"/>
    </xf>
    <xf numFmtId="0" fontId="15" fillId="0" borderId="46" xfId="0" applyFont="1" applyFill="1" applyBorder="1" applyAlignment="1" applyProtection="1">
      <alignment vertical="center"/>
      <protection hidden="1" locked="0"/>
    </xf>
    <xf numFmtId="0" fontId="15" fillId="0" borderId="47" xfId="0" applyFont="1" applyFill="1" applyBorder="1" applyAlignment="1" applyProtection="1">
      <alignment vertical="center"/>
      <protection hidden="1" locked="0"/>
    </xf>
    <xf numFmtId="0" fontId="5" fillId="0" borderId="48" xfId="0" applyFont="1" applyFill="1" applyBorder="1" applyAlignment="1" applyProtection="1">
      <alignment vertical="center"/>
      <protection hidden="1" locked="0"/>
    </xf>
    <xf numFmtId="41" fontId="14" fillId="0" borderId="24" xfId="0" applyNumberFormat="1" applyFont="1" applyFill="1" applyBorder="1" applyAlignment="1" applyProtection="1">
      <alignment vertical="center"/>
      <protection hidden="1" locked="0"/>
    </xf>
    <xf numFmtId="0" fontId="16" fillId="0" borderId="46" xfId="0" applyFont="1" applyFill="1" applyBorder="1" applyAlignment="1" applyProtection="1">
      <alignment/>
      <protection hidden="1" locked="0"/>
    </xf>
    <xf numFmtId="0" fontId="16" fillId="0" borderId="47" xfId="0" applyFont="1" applyFill="1" applyBorder="1" applyAlignment="1" applyProtection="1">
      <alignment/>
      <protection hidden="1" locked="0"/>
    </xf>
    <xf numFmtId="0" fontId="5" fillId="0" borderId="48" xfId="0" applyFont="1" applyFill="1" applyBorder="1" applyAlignment="1" applyProtection="1">
      <alignment/>
      <protection hidden="1" locked="0"/>
    </xf>
    <xf numFmtId="41" fontId="14" fillId="0" borderId="24" xfId="0" applyNumberFormat="1" applyFont="1" applyFill="1" applyBorder="1" applyAlignment="1" applyProtection="1">
      <alignment/>
      <protection hidden="1" locked="0"/>
    </xf>
    <xf numFmtId="41" fontId="5" fillId="0" borderId="16" xfId="0" applyNumberFormat="1" applyFont="1" applyFill="1" applyBorder="1" applyAlignment="1" applyProtection="1">
      <alignment/>
      <protection hidden="1" locked="0"/>
    </xf>
    <xf numFmtId="41" fontId="14" fillId="0" borderId="16" xfId="0" applyNumberFormat="1" applyFont="1" applyFill="1" applyBorder="1" applyAlignment="1" applyProtection="1">
      <alignment horizontal="right"/>
      <protection hidden="1" locked="0"/>
    </xf>
    <xf numFmtId="0" fontId="5" fillId="0" borderId="49" xfId="0" applyFont="1" applyFill="1" applyBorder="1" applyAlignment="1" applyProtection="1">
      <alignment/>
      <protection hidden="1" locked="0"/>
    </xf>
    <xf numFmtId="41" fontId="14" fillId="0" borderId="21" xfId="0" applyNumberFormat="1" applyFont="1" applyFill="1" applyBorder="1" applyAlignment="1" applyProtection="1">
      <alignment/>
      <protection hidden="1" locked="0"/>
    </xf>
    <xf numFmtId="41" fontId="5" fillId="0" borderId="21" xfId="0" applyNumberFormat="1" applyFont="1" applyFill="1" applyBorder="1" applyAlignment="1" applyProtection="1">
      <alignment/>
      <protection hidden="1" locked="0"/>
    </xf>
    <xf numFmtId="0" fontId="15" fillId="0" borderId="17" xfId="0" applyFont="1" applyFill="1" applyBorder="1" applyAlignment="1" applyProtection="1">
      <alignment horizontal="center" vertical="center"/>
      <protection hidden="1" locked="0"/>
    </xf>
    <xf numFmtId="0" fontId="16" fillId="0" borderId="0" xfId="0" applyFont="1" applyFill="1" applyBorder="1" applyAlignment="1" applyProtection="1">
      <alignment horizontal="left" vertical="center"/>
      <protection hidden="1" locked="0"/>
    </xf>
    <xf numFmtId="0" fontId="16" fillId="0" borderId="0" xfId="0" applyFont="1" applyFill="1" applyBorder="1" applyAlignment="1" applyProtection="1">
      <alignment vertical="center"/>
      <protection hidden="1" locked="0"/>
    </xf>
    <xf numFmtId="0" fontId="16" fillId="0" borderId="46" xfId="0" applyFont="1" applyFill="1" applyBorder="1" applyAlignment="1" applyProtection="1">
      <alignment vertical="center"/>
      <protection hidden="1" locked="0"/>
    </xf>
    <xf numFmtId="0" fontId="16" fillId="0" borderId="47" xfId="0" applyFont="1" applyFill="1" applyBorder="1" applyAlignment="1" applyProtection="1">
      <alignment vertical="center"/>
      <protection hidden="1" locked="0"/>
    </xf>
    <xf numFmtId="0" fontId="5" fillId="0" borderId="0" xfId="0" applyFont="1" applyFill="1" applyBorder="1" applyAlignment="1" applyProtection="1">
      <alignment vertical="center"/>
      <protection hidden="1" locked="0"/>
    </xf>
    <xf numFmtId="41" fontId="14" fillId="0" borderId="16" xfId="0" applyNumberFormat="1" applyFont="1" applyFill="1" applyBorder="1" applyAlignment="1" applyProtection="1">
      <alignment vertical="center"/>
      <protection hidden="1" locked="0"/>
    </xf>
    <xf numFmtId="0" fontId="16" fillId="0" borderId="23" xfId="0" applyFont="1" applyFill="1" applyBorder="1" applyAlignment="1" applyProtection="1">
      <alignment/>
      <protection hidden="1" locked="0"/>
    </xf>
    <xf numFmtId="0" fontId="16" fillId="0" borderId="22" xfId="0" applyFont="1" applyFill="1" applyBorder="1" applyAlignment="1" applyProtection="1">
      <alignment/>
      <protection hidden="1" locked="0"/>
    </xf>
    <xf numFmtId="0" fontId="16" fillId="0" borderId="50" xfId="0" applyFont="1" applyFill="1" applyBorder="1" applyAlignment="1" applyProtection="1">
      <alignment/>
      <protection hidden="1" locked="0"/>
    </xf>
    <xf numFmtId="0" fontId="16" fillId="0" borderId="51" xfId="0" applyFont="1" applyFill="1" applyBorder="1" applyAlignment="1" applyProtection="1">
      <alignment/>
      <protection hidden="1" locked="0"/>
    </xf>
    <xf numFmtId="0" fontId="16" fillId="0" borderId="24" xfId="0" applyFont="1" applyFill="1" applyBorder="1" applyAlignment="1" applyProtection="1">
      <alignment/>
      <protection hidden="1" locked="0"/>
    </xf>
    <xf numFmtId="0" fontId="16" fillId="0" borderId="10" xfId="0" applyFont="1" applyFill="1" applyBorder="1" applyAlignment="1" applyProtection="1">
      <alignment/>
      <protection hidden="1" locked="0"/>
    </xf>
    <xf numFmtId="0" fontId="16" fillId="0" borderId="16" xfId="0" applyFont="1" applyFill="1" applyBorder="1" applyAlignment="1" applyProtection="1">
      <alignment/>
      <protection hidden="1" locked="0"/>
    </xf>
    <xf numFmtId="0" fontId="16" fillId="0" borderId="52" xfId="0" applyFont="1" applyFill="1" applyBorder="1" applyAlignment="1" applyProtection="1">
      <alignment horizontal="center"/>
      <protection hidden="1" locked="0"/>
    </xf>
    <xf numFmtId="0" fontId="16" fillId="0" borderId="53" xfId="0" applyFont="1" applyFill="1" applyBorder="1" applyAlignment="1" applyProtection="1">
      <alignment horizontal="center"/>
      <protection hidden="1" locked="0"/>
    </xf>
    <xf numFmtId="0" fontId="16" fillId="0" borderId="53" xfId="0" applyFont="1" applyFill="1" applyBorder="1" applyAlignment="1" applyProtection="1">
      <alignment/>
      <protection hidden="1" locked="0"/>
    </xf>
    <xf numFmtId="0" fontId="16" fillId="0" borderId="54" xfId="0" applyFont="1" applyFill="1" applyBorder="1" applyAlignment="1" applyProtection="1">
      <alignment horizontal="center"/>
      <protection hidden="1" locked="0"/>
    </xf>
    <xf numFmtId="0" fontId="16" fillId="0" borderId="42" xfId="0" applyFont="1" applyFill="1" applyBorder="1" applyAlignment="1" applyProtection="1">
      <alignment horizontal="center"/>
      <protection hidden="1" locked="0"/>
    </xf>
    <xf numFmtId="0" fontId="16" fillId="0" borderId="11" xfId="0" applyFont="1" applyFill="1" applyBorder="1" applyAlignment="1" applyProtection="1">
      <alignment horizontal="center"/>
      <protection hidden="1" locked="0"/>
    </xf>
    <xf numFmtId="0" fontId="16" fillId="0" borderId="11" xfId="0" applyFont="1" applyFill="1" applyBorder="1" applyAlignment="1" applyProtection="1">
      <alignment/>
      <protection hidden="1" locked="0"/>
    </xf>
    <xf numFmtId="0" fontId="16" fillId="0" borderId="29" xfId="0" applyFont="1" applyFill="1" applyBorder="1" applyAlignment="1" applyProtection="1">
      <alignment horizontal="center"/>
      <protection hidden="1" locked="0"/>
    </xf>
    <xf numFmtId="0" fontId="16" fillId="0" borderId="17" xfId="0" applyFont="1" applyFill="1" applyBorder="1" applyAlignment="1" applyProtection="1">
      <alignment/>
      <protection hidden="1" locked="0"/>
    </xf>
    <xf numFmtId="0" fontId="16" fillId="0" borderId="15" xfId="0" applyFont="1" applyFill="1" applyBorder="1" applyAlignment="1" applyProtection="1">
      <alignment horizontal="center"/>
      <protection hidden="1" locked="0"/>
    </xf>
    <xf numFmtId="0" fontId="16" fillId="0" borderId="14" xfId="0" applyFont="1" applyFill="1" applyBorder="1" applyAlignment="1" applyProtection="1">
      <alignment horizontal="center"/>
      <protection hidden="1" locked="0"/>
    </xf>
    <xf numFmtId="0" fontId="16" fillId="0" borderId="55" xfId="0" applyFont="1" applyFill="1" applyBorder="1" applyAlignment="1" applyProtection="1">
      <alignment horizontal="center"/>
      <protection hidden="1" locked="0"/>
    </xf>
    <xf numFmtId="0" fontId="16" fillId="0" borderId="33" xfId="0" applyFont="1" applyFill="1" applyBorder="1" applyAlignment="1" applyProtection="1">
      <alignment horizontal="center"/>
      <protection hidden="1" locked="0"/>
    </xf>
    <xf numFmtId="0" fontId="16" fillId="0" borderId="17" xfId="0" applyFont="1" applyFill="1" applyBorder="1" applyAlignment="1" applyProtection="1">
      <alignment horizontal="center"/>
      <protection hidden="1" locked="0"/>
    </xf>
    <xf numFmtId="0" fontId="16" fillId="0" borderId="18" xfId="0" applyFont="1" applyFill="1" applyBorder="1" applyAlignment="1" applyProtection="1">
      <alignment horizontal="center"/>
      <protection hidden="1" locked="0"/>
    </xf>
    <xf numFmtId="0" fontId="16" fillId="0" borderId="22" xfId="0" applyFont="1" applyFill="1" applyBorder="1" applyAlignment="1" applyProtection="1">
      <alignment horizontal="center"/>
      <protection hidden="1" locked="0"/>
    </xf>
    <xf numFmtId="0" fontId="16" fillId="0" borderId="56" xfId="0" applyFont="1" applyFill="1" applyBorder="1" applyAlignment="1" applyProtection="1">
      <alignment horizontal="center"/>
      <protection hidden="1" locked="0"/>
    </xf>
    <xf numFmtId="0" fontId="16" fillId="0" borderId="19" xfId="0" applyFont="1" applyFill="1" applyBorder="1" applyAlignment="1" applyProtection="1">
      <alignment horizontal="center"/>
      <protection hidden="1" locked="0"/>
    </xf>
    <xf numFmtId="0" fontId="16" fillId="0" borderId="24" xfId="0" applyFont="1" applyFill="1" applyBorder="1" applyAlignment="1" applyProtection="1">
      <alignment horizontal="center"/>
      <protection hidden="1" locked="0"/>
    </xf>
    <xf numFmtId="0" fontId="16" fillId="0" borderId="20" xfId="0" applyFont="1" applyFill="1" applyBorder="1" applyAlignment="1" applyProtection="1">
      <alignment horizontal="center"/>
      <protection hidden="1" locked="0"/>
    </xf>
    <xf numFmtId="0" fontId="0" fillId="33" borderId="35" xfId="0" applyFill="1" applyBorder="1" applyAlignment="1" applyProtection="1">
      <alignment/>
      <protection hidden="1"/>
    </xf>
    <xf numFmtId="0" fontId="0" fillId="34" borderId="36" xfId="0" applyFill="1" applyBorder="1" applyAlignment="1" applyProtection="1">
      <alignment/>
      <protection hidden="1"/>
    </xf>
    <xf numFmtId="0" fontId="0" fillId="35" borderId="37" xfId="0" applyFill="1" applyBorder="1" applyAlignment="1" applyProtection="1">
      <alignment/>
      <protection hidden="1"/>
    </xf>
    <xf numFmtId="0" fontId="0" fillId="7" borderId="0" xfId="0" applyFill="1" applyAlignment="1" applyProtection="1">
      <alignment/>
      <protection hidden="1"/>
    </xf>
    <xf numFmtId="0" fontId="0" fillId="36" borderId="0" xfId="0" applyFill="1" applyAlignment="1" applyProtection="1">
      <alignment/>
      <protection hidden="1"/>
    </xf>
    <xf numFmtId="0" fontId="0" fillId="37" borderId="0" xfId="0" applyFill="1" applyAlignment="1" applyProtection="1">
      <alignment/>
      <protection hidden="1"/>
    </xf>
    <xf numFmtId="0" fontId="0" fillId="7" borderId="0" xfId="0" applyFill="1" applyAlignment="1" applyProtection="1">
      <alignment/>
      <protection hidden="1" locked="0"/>
    </xf>
    <xf numFmtId="0" fontId="0" fillId="36" borderId="0" xfId="0" applyFill="1" applyAlignment="1" applyProtection="1">
      <alignment/>
      <protection hidden="1" locked="0"/>
    </xf>
    <xf numFmtId="0" fontId="147" fillId="38" borderId="0" xfId="53" applyFill="1" applyAlignment="1" applyProtection="1">
      <alignment vertical="top" textRotation="90"/>
      <protection hidden="1" locked="0"/>
    </xf>
    <xf numFmtId="0" fontId="0" fillId="38" borderId="0" xfId="0" applyFill="1" applyAlignment="1" applyProtection="1">
      <alignment vertical="top"/>
      <protection hidden="1" locked="0"/>
    </xf>
    <xf numFmtId="0" fontId="0" fillId="38" borderId="0" xfId="0" applyFill="1" applyAlignment="1" applyProtection="1">
      <alignment/>
      <protection hidden="1" locked="0"/>
    </xf>
    <xf numFmtId="0" fontId="0" fillId="39" borderId="57" xfId="0" applyFill="1" applyBorder="1" applyAlignment="1" applyProtection="1">
      <alignment/>
      <protection hidden="1" locked="0"/>
    </xf>
    <xf numFmtId="0" fontId="0" fillId="40" borderId="40" xfId="0" applyFill="1" applyBorder="1" applyAlignment="1" applyProtection="1">
      <alignment/>
      <protection hidden="1" locked="0"/>
    </xf>
    <xf numFmtId="0" fontId="0" fillId="41" borderId="41" xfId="0" applyFill="1" applyBorder="1" applyAlignment="1" applyProtection="1">
      <alignment/>
      <protection hidden="1" locked="0"/>
    </xf>
    <xf numFmtId="0" fontId="0" fillId="38" borderId="0" xfId="0" applyFill="1" applyAlignment="1" applyProtection="1">
      <alignment textRotation="90"/>
      <protection hidden="1" locked="0"/>
    </xf>
    <xf numFmtId="0" fontId="0" fillId="42" borderId="10" xfId="0" applyFill="1" applyBorder="1" applyAlignment="1" applyProtection="1">
      <alignment/>
      <protection hidden="1" locked="0"/>
    </xf>
    <xf numFmtId="0" fontId="0" fillId="43" borderId="0" xfId="0" applyFill="1" applyBorder="1" applyAlignment="1" applyProtection="1">
      <alignment/>
      <protection hidden="1" locked="0"/>
    </xf>
    <xf numFmtId="0" fontId="0" fillId="44" borderId="16" xfId="0" applyFill="1" applyBorder="1" applyAlignment="1" applyProtection="1">
      <alignment/>
      <protection hidden="1" locked="0"/>
    </xf>
    <xf numFmtId="0" fontId="2" fillId="0" borderId="58"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0" fontId="156" fillId="0" borderId="0" xfId="0" applyFont="1" applyAlignment="1" applyProtection="1">
      <alignment vertical="center"/>
      <protection hidden="1" locked="0"/>
    </xf>
    <xf numFmtId="0" fontId="156" fillId="7" borderId="0" xfId="0" applyFont="1" applyFill="1" applyAlignment="1" applyProtection="1">
      <alignment vertical="center"/>
      <protection hidden="1" locked="0"/>
    </xf>
    <xf numFmtId="0" fontId="0" fillId="38" borderId="0" xfId="0" applyFill="1" applyBorder="1" applyAlignment="1" applyProtection="1">
      <alignment horizontal="center" textRotation="180"/>
      <protection hidden="1" locked="0"/>
    </xf>
    <xf numFmtId="0" fontId="0" fillId="38" borderId="0" xfId="0" applyFill="1" applyAlignment="1" applyProtection="1">
      <alignment textRotation="180"/>
      <protection hidden="1" locked="0"/>
    </xf>
    <xf numFmtId="0" fontId="153" fillId="45" borderId="10" xfId="0" applyFont="1" applyFill="1" applyBorder="1" applyAlignment="1" applyProtection="1">
      <alignment/>
      <protection hidden="1" locked="0"/>
    </xf>
    <xf numFmtId="0" fontId="0" fillId="46" borderId="0" xfId="0" applyFill="1" applyBorder="1" applyAlignment="1" applyProtection="1">
      <alignment/>
      <protection hidden="1" locked="0"/>
    </xf>
    <xf numFmtId="0" fontId="155" fillId="47" borderId="0" xfId="0" applyFont="1" applyFill="1" applyBorder="1" applyAlignment="1" applyProtection="1">
      <alignment/>
      <protection hidden="1" locked="0"/>
    </xf>
    <xf numFmtId="0" fontId="153" fillId="48" borderId="0" xfId="0" applyFont="1" applyFill="1" applyBorder="1" applyAlignment="1" applyProtection="1">
      <alignment/>
      <protection hidden="1" locked="0"/>
    </xf>
    <xf numFmtId="0" fontId="0" fillId="49" borderId="0" xfId="0" applyFill="1" applyAlignment="1" applyProtection="1">
      <alignment/>
      <protection hidden="1" locked="0"/>
    </xf>
    <xf numFmtId="17" fontId="0" fillId="0" borderId="0" xfId="0" applyNumberFormat="1" applyAlignment="1" applyProtection="1">
      <alignment/>
      <protection hidden="1" locked="0"/>
    </xf>
    <xf numFmtId="0" fontId="0" fillId="0" borderId="0" xfId="0" applyAlignment="1" applyProtection="1">
      <alignment horizontal="center"/>
      <protection hidden="1" locked="0"/>
    </xf>
    <xf numFmtId="0" fontId="0" fillId="50" borderId="0" xfId="0" applyFill="1" applyAlignment="1" applyProtection="1">
      <alignment/>
      <protection hidden="1" locked="0"/>
    </xf>
    <xf numFmtId="0" fontId="0" fillId="51" borderId="0" xfId="0" applyFill="1" applyAlignment="1" applyProtection="1">
      <alignment/>
      <protection hidden="1" locked="0"/>
    </xf>
    <xf numFmtId="0" fontId="0" fillId="52" borderId="0" xfId="0" applyFill="1" applyAlignment="1" applyProtection="1">
      <alignment/>
      <protection hidden="1" locked="0"/>
    </xf>
    <xf numFmtId="0" fontId="0" fillId="53" borderId="0" xfId="0" applyFill="1" applyAlignment="1" applyProtection="1">
      <alignment/>
      <protection hidden="1" locked="0"/>
    </xf>
    <xf numFmtId="0" fontId="0" fillId="8" borderId="0" xfId="0" applyFill="1" applyAlignment="1" applyProtection="1">
      <alignment/>
      <protection hidden="1" locked="0"/>
    </xf>
    <xf numFmtId="0" fontId="153" fillId="0" borderId="0" xfId="0" applyFont="1" applyAlignment="1" applyProtection="1">
      <alignment/>
      <protection hidden="1" locked="0"/>
    </xf>
    <xf numFmtId="182" fontId="157" fillId="0" borderId="0" xfId="0" applyNumberFormat="1" applyFont="1" applyAlignment="1" applyProtection="1">
      <alignment/>
      <protection hidden="1" locked="0"/>
    </xf>
    <xf numFmtId="0" fontId="2" fillId="54" borderId="0" xfId="0" applyFont="1" applyFill="1" applyAlignment="1" applyProtection="1">
      <alignment vertical="center"/>
      <protection hidden="1" locked="0"/>
    </xf>
    <xf numFmtId="0" fontId="7" fillId="54" borderId="0" xfId="0" applyFont="1" applyFill="1" applyAlignment="1" applyProtection="1">
      <alignment horizontal="left" vertical="center"/>
      <protection hidden="1" locked="0"/>
    </xf>
    <xf numFmtId="14" fontId="0" fillId="0" borderId="0" xfId="0" applyNumberFormat="1" applyAlignment="1" applyProtection="1">
      <alignment/>
      <protection hidden="1" locked="0"/>
    </xf>
    <xf numFmtId="1" fontId="0" fillId="0" borderId="0" xfId="0" applyNumberFormat="1" applyAlignment="1" applyProtection="1">
      <alignment/>
      <protection hidden="1" locked="0"/>
    </xf>
    <xf numFmtId="0" fontId="153" fillId="8" borderId="0" xfId="0" applyFont="1" applyFill="1" applyAlignment="1" applyProtection="1">
      <alignment/>
      <protection hidden="1" locked="0"/>
    </xf>
    <xf numFmtId="9" fontId="0" fillId="0" borderId="0" xfId="0" applyNumberFormat="1" applyAlignment="1" applyProtection="1">
      <alignment/>
      <protection hidden="1" locked="0"/>
    </xf>
    <xf numFmtId="0" fontId="0" fillId="0" borderId="0" xfId="0" applyAlignment="1" applyProtection="1">
      <alignment horizontal="center" vertical="center"/>
      <protection hidden="1" locked="0"/>
    </xf>
    <xf numFmtId="0" fontId="153" fillId="0" borderId="0" xfId="0" applyFont="1" applyAlignment="1" applyProtection="1">
      <alignment horizontal="center" vertical="center"/>
      <protection hidden="1" locked="0"/>
    </xf>
    <xf numFmtId="0" fontId="2" fillId="54" borderId="0" xfId="0" applyFont="1" applyFill="1" applyAlignment="1" applyProtection="1">
      <alignment horizontal="left" vertical="center"/>
      <protection hidden="1" locked="0"/>
    </xf>
    <xf numFmtId="0" fontId="9" fillId="54" borderId="0" xfId="0" applyFont="1" applyFill="1" applyBorder="1" applyAlignment="1" applyProtection="1">
      <alignment horizontal="left" vertical="center"/>
      <protection hidden="1" locked="0"/>
    </xf>
    <xf numFmtId="0" fontId="0" fillId="0" borderId="0" xfId="0" applyAlignment="1">
      <alignment vertical="top" wrapText="1"/>
    </xf>
    <xf numFmtId="0" fontId="0" fillId="55" borderId="0" xfId="0" applyFill="1" applyBorder="1" applyAlignment="1" applyProtection="1">
      <alignment/>
      <protection hidden="1" locked="0"/>
    </xf>
    <xf numFmtId="0" fontId="15" fillId="0" borderId="10" xfId="0" applyFont="1" applyBorder="1" applyAlignment="1" applyProtection="1">
      <alignment horizontal="center" vertical="center"/>
      <protection hidden="1" locked="0"/>
    </xf>
    <xf numFmtId="0" fontId="15" fillId="0" borderId="11" xfId="0" applyFont="1" applyBorder="1" applyAlignment="1" applyProtection="1">
      <alignment vertical="center"/>
      <protection hidden="1" locked="0"/>
    </xf>
    <xf numFmtId="0" fontId="15" fillId="0" borderId="0" xfId="0" applyFont="1" applyBorder="1" applyAlignment="1" applyProtection="1">
      <alignment vertical="center"/>
      <protection hidden="1" locked="0"/>
    </xf>
    <xf numFmtId="0" fontId="16" fillId="0" borderId="0" xfId="0" applyFont="1" applyBorder="1" applyAlignment="1" applyProtection="1">
      <alignment vertical="center"/>
      <protection hidden="1" locked="0"/>
    </xf>
    <xf numFmtId="0" fontId="16" fillId="0" borderId="59" xfId="0" applyFont="1" applyBorder="1" applyAlignment="1" applyProtection="1">
      <alignment vertical="center"/>
      <protection hidden="1" locked="0"/>
    </xf>
    <xf numFmtId="41" fontId="14" fillId="0" borderId="60" xfId="0" applyNumberFormat="1" applyFont="1" applyBorder="1" applyAlignment="1" applyProtection="1">
      <alignment vertical="center"/>
      <protection hidden="1" locked="0"/>
    </xf>
    <xf numFmtId="3" fontId="16" fillId="0" borderId="0" xfId="0" applyNumberFormat="1" applyFont="1" applyBorder="1" applyAlignment="1" applyProtection="1">
      <alignment vertical="center"/>
      <protection hidden="1" locked="0"/>
    </xf>
    <xf numFmtId="3" fontId="16" fillId="0" borderId="29" xfId="0" applyNumberFormat="1" applyFont="1" applyBorder="1" applyAlignment="1" applyProtection="1">
      <alignment vertical="center"/>
      <protection hidden="1" locked="0"/>
    </xf>
    <xf numFmtId="41" fontId="5" fillId="0" borderId="16" xfId="0" applyNumberFormat="1" applyFont="1" applyBorder="1" applyAlignment="1" applyProtection="1">
      <alignment vertical="center"/>
      <protection hidden="1" locked="0"/>
    </xf>
    <xf numFmtId="0" fontId="5" fillId="0" borderId="11" xfId="0" applyFont="1" applyBorder="1" applyAlignment="1" applyProtection="1">
      <alignment vertical="center"/>
      <protection hidden="1" locked="0"/>
    </xf>
    <xf numFmtId="0" fontId="5" fillId="0" borderId="0" xfId="0" applyFont="1" applyBorder="1" applyAlignment="1" applyProtection="1">
      <alignment vertical="center"/>
      <protection hidden="1" locked="0"/>
    </xf>
    <xf numFmtId="0" fontId="16" fillId="0" borderId="12" xfId="0" applyFont="1" applyBorder="1" applyAlignment="1" applyProtection="1">
      <alignment vertical="center"/>
      <protection hidden="1" locked="0"/>
    </xf>
    <xf numFmtId="41" fontId="5" fillId="0" borderId="61" xfId="0" applyNumberFormat="1" applyFont="1" applyBorder="1" applyAlignment="1" applyProtection="1">
      <alignment vertical="center"/>
      <protection hidden="1" locked="0"/>
    </xf>
    <xf numFmtId="0" fontId="16" fillId="0" borderId="27" xfId="0" applyFont="1" applyBorder="1" applyAlignment="1" applyProtection="1">
      <alignment vertical="center"/>
      <protection hidden="1" locked="0"/>
    </xf>
    <xf numFmtId="41" fontId="5" fillId="0" borderId="62" xfId="0" applyNumberFormat="1" applyFont="1" applyBorder="1" applyAlignment="1" applyProtection="1">
      <alignment vertical="center"/>
      <protection hidden="1" locked="0"/>
    </xf>
    <xf numFmtId="41" fontId="5" fillId="0" borderId="60" xfId="0" applyNumberFormat="1" applyFont="1" applyBorder="1" applyAlignment="1" applyProtection="1">
      <alignment vertical="center"/>
      <protection hidden="1" locked="0"/>
    </xf>
    <xf numFmtId="0" fontId="16" fillId="0" borderId="30" xfId="0" applyFont="1" applyBorder="1" applyAlignment="1" applyProtection="1">
      <alignment vertical="center"/>
      <protection hidden="1" locked="0"/>
    </xf>
    <xf numFmtId="41" fontId="5" fillId="0" borderId="63" xfId="0" applyNumberFormat="1" applyFont="1" applyBorder="1" applyAlignment="1" applyProtection="1">
      <alignment vertical="center"/>
      <protection hidden="1" locked="0"/>
    </xf>
    <xf numFmtId="0" fontId="15" fillId="0" borderId="0" xfId="0" applyFont="1" applyBorder="1" applyAlignment="1" applyProtection="1">
      <alignment horizontal="left" vertical="center"/>
      <protection hidden="1" locked="0"/>
    </xf>
    <xf numFmtId="0" fontId="16" fillId="0" borderId="11" xfId="0" applyFont="1" applyBorder="1" applyAlignment="1" applyProtection="1">
      <alignment vertical="center"/>
      <protection hidden="1" locked="0"/>
    </xf>
    <xf numFmtId="41" fontId="14" fillId="0" borderId="29" xfId="0" applyNumberFormat="1" applyFont="1" applyBorder="1" applyAlignment="1" applyProtection="1">
      <alignment vertical="center"/>
      <protection hidden="1" locked="0"/>
    </xf>
    <xf numFmtId="41" fontId="14" fillId="0" borderId="16" xfId="0" applyNumberFormat="1" applyFont="1" applyBorder="1" applyAlignment="1" applyProtection="1">
      <alignment vertical="center"/>
      <protection hidden="1" locked="0"/>
    </xf>
    <xf numFmtId="41" fontId="5" fillId="0" borderId="0" xfId="0" applyNumberFormat="1" applyFont="1" applyBorder="1" applyAlignment="1" applyProtection="1">
      <alignment vertical="center"/>
      <protection hidden="1" locked="0"/>
    </xf>
    <xf numFmtId="3" fontId="16" fillId="0" borderId="11" xfId="0" applyNumberFormat="1" applyFont="1" applyBorder="1" applyAlignment="1" applyProtection="1">
      <alignment vertical="center"/>
      <protection hidden="1" locked="0"/>
    </xf>
    <xf numFmtId="0" fontId="5" fillId="0" borderId="0" xfId="0" applyFont="1" applyBorder="1" applyAlignment="1" applyProtection="1">
      <alignment/>
      <protection hidden="1" locked="0"/>
    </xf>
    <xf numFmtId="0" fontId="5" fillId="0" borderId="29" xfId="0" applyFont="1" applyBorder="1" applyAlignment="1" applyProtection="1">
      <alignment vertical="center"/>
      <protection hidden="1" locked="0"/>
    </xf>
    <xf numFmtId="0" fontId="16" fillId="0" borderId="13" xfId="0" applyFont="1" applyBorder="1" applyAlignment="1" applyProtection="1">
      <alignment vertical="center"/>
      <protection hidden="1" locked="0"/>
    </xf>
    <xf numFmtId="41" fontId="14" fillId="0" borderId="13" xfId="0" applyNumberFormat="1" applyFont="1" applyBorder="1" applyAlignment="1" applyProtection="1">
      <alignment vertical="center"/>
      <protection hidden="1" locked="0"/>
    </xf>
    <xf numFmtId="41" fontId="5" fillId="0" borderId="13" xfId="0" applyNumberFormat="1" applyFont="1" applyBorder="1" applyAlignment="1" applyProtection="1">
      <alignment vertical="center"/>
      <protection hidden="1" locked="0"/>
    </xf>
    <xf numFmtId="3" fontId="16" fillId="0" borderId="15" xfId="0" applyNumberFormat="1" applyFont="1" applyBorder="1" applyAlignment="1" applyProtection="1">
      <alignment vertical="center"/>
      <protection hidden="1" locked="0"/>
    </xf>
    <xf numFmtId="0" fontId="16" fillId="0" borderId="29" xfId="0" applyFont="1" applyBorder="1" applyAlignment="1" applyProtection="1">
      <alignment vertical="center"/>
      <protection hidden="1" locked="0"/>
    </xf>
    <xf numFmtId="41" fontId="5" fillId="0" borderId="29" xfId="0" applyNumberFormat="1" applyFont="1" applyBorder="1" applyAlignment="1" applyProtection="1">
      <alignment vertical="center"/>
      <protection hidden="1" locked="0"/>
    </xf>
    <xf numFmtId="3" fontId="16" fillId="0" borderId="64" xfId="0" applyNumberFormat="1" applyFont="1" applyBorder="1" applyAlignment="1" applyProtection="1">
      <alignment vertical="center"/>
      <protection hidden="1" locked="0"/>
    </xf>
    <xf numFmtId="41" fontId="14" fillId="0" borderId="26" xfId="0" applyNumberFormat="1" applyFont="1" applyBorder="1" applyAlignment="1" applyProtection="1">
      <alignment vertical="center"/>
      <protection hidden="1" locked="0"/>
    </xf>
    <xf numFmtId="3" fontId="16" fillId="0" borderId="12" xfId="0" applyNumberFormat="1" applyFont="1" applyBorder="1" applyAlignment="1" applyProtection="1">
      <alignment vertical="center"/>
      <protection hidden="1" locked="0"/>
    </xf>
    <xf numFmtId="41" fontId="5" fillId="0" borderId="21" xfId="0" applyNumberFormat="1" applyFont="1" applyBorder="1" applyAlignment="1" applyProtection="1">
      <alignment vertical="center"/>
      <protection hidden="1" locked="0"/>
    </xf>
    <xf numFmtId="3" fontId="16" fillId="0" borderId="30" xfId="0" applyNumberFormat="1" applyFont="1" applyBorder="1" applyAlignment="1" applyProtection="1">
      <alignment vertical="center"/>
      <protection hidden="1" locked="0"/>
    </xf>
    <xf numFmtId="41" fontId="5" fillId="0" borderId="32" xfId="0" applyNumberFormat="1" applyFont="1" applyBorder="1" applyAlignment="1" applyProtection="1">
      <alignment vertical="center"/>
      <protection hidden="1" locked="0"/>
    </xf>
    <xf numFmtId="0" fontId="13" fillId="0" borderId="0" xfId="0" applyFont="1" applyBorder="1" applyAlignment="1" applyProtection="1">
      <alignment vertical="center"/>
      <protection hidden="1" locked="0"/>
    </xf>
    <xf numFmtId="41" fontId="16" fillId="0" borderId="29" xfId="0" applyNumberFormat="1" applyFont="1" applyBorder="1" applyAlignment="1" applyProtection="1">
      <alignment vertical="center"/>
      <protection hidden="1" locked="0"/>
    </xf>
    <xf numFmtId="0" fontId="15" fillId="0" borderId="10" xfId="0" applyFont="1" applyBorder="1" applyAlignment="1" applyProtection="1">
      <alignment horizontal="right" vertical="center"/>
      <protection hidden="1" locked="0"/>
    </xf>
    <xf numFmtId="0" fontId="5" fillId="0" borderId="0" xfId="0" applyFont="1" applyBorder="1" applyAlignment="1" applyProtection="1">
      <alignment horizontal="center" vertical="center"/>
      <protection hidden="1" locked="0"/>
    </xf>
    <xf numFmtId="0" fontId="11" fillId="0" borderId="0" xfId="0" applyFont="1" applyBorder="1" applyAlignment="1" applyProtection="1">
      <alignment vertical="center"/>
      <protection hidden="1" locked="0"/>
    </xf>
    <xf numFmtId="3" fontId="16" fillId="0" borderId="11" xfId="0" applyNumberFormat="1" applyFont="1" applyBorder="1" applyAlignment="1" applyProtection="1">
      <alignment horizontal="right" vertical="center"/>
      <protection hidden="1" locked="0"/>
    </xf>
    <xf numFmtId="3" fontId="16" fillId="0" borderId="13" xfId="0" applyNumberFormat="1" applyFont="1" applyBorder="1" applyAlignment="1" applyProtection="1">
      <alignment vertical="center"/>
      <protection hidden="1" locked="0"/>
    </xf>
    <xf numFmtId="3" fontId="16" fillId="0" borderId="28" xfId="0" applyNumberFormat="1" applyFont="1" applyBorder="1" applyAlignment="1" applyProtection="1">
      <alignment vertical="center"/>
      <protection hidden="1" locked="0"/>
    </xf>
    <xf numFmtId="3" fontId="16" fillId="0" borderId="14" xfId="0" applyNumberFormat="1" applyFont="1" applyBorder="1" applyAlignment="1" applyProtection="1">
      <alignment vertical="center"/>
      <protection hidden="1" locked="0"/>
    </xf>
    <xf numFmtId="3" fontId="16" fillId="0" borderId="27" xfId="0" applyNumberFormat="1" applyFont="1" applyBorder="1" applyAlignment="1" applyProtection="1">
      <alignment vertical="center"/>
      <protection hidden="1" locked="0"/>
    </xf>
    <xf numFmtId="3" fontId="16" fillId="0" borderId="22" xfId="0" applyNumberFormat="1" applyFont="1" applyBorder="1" applyAlignment="1" applyProtection="1">
      <alignment vertical="center"/>
      <protection hidden="1" locked="0"/>
    </xf>
    <xf numFmtId="3" fontId="11" fillId="0" borderId="0" xfId="0" applyNumberFormat="1" applyFont="1" applyBorder="1" applyAlignment="1" applyProtection="1">
      <alignment vertical="center"/>
      <protection hidden="1" locked="0"/>
    </xf>
    <xf numFmtId="3" fontId="15" fillId="0" borderId="11" xfId="0" applyNumberFormat="1" applyFont="1" applyBorder="1" applyAlignment="1" applyProtection="1">
      <alignment vertical="center"/>
      <protection hidden="1" locked="0"/>
    </xf>
    <xf numFmtId="3" fontId="15" fillId="0" borderId="0" xfId="0" applyNumberFormat="1" applyFont="1" applyBorder="1" applyAlignment="1" applyProtection="1">
      <alignment vertical="center"/>
      <protection hidden="1" locked="0"/>
    </xf>
    <xf numFmtId="3" fontId="5" fillId="0" borderId="29" xfId="0" applyNumberFormat="1" applyFont="1" applyBorder="1" applyAlignment="1" applyProtection="1">
      <alignment vertical="center"/>
      <protection hidden="1" locked="0"/>
    </xf>
    <xf numFmtId="3" fontId="17" fillId="0" borderId="11" xfId="0" applyNumberFormat="1" applyFont="1" applyBorder="1" applyAlignment="1" applyProtection="1">
      <alignment horizontal="right" vertical="center"/>
      <protection hidden="1" locked="0"/>
    </xf>
    <xf numFmtId="3" fontId="11" fillId="0" borderId="13" xfId="0" applyNumberFormat="1" applyFont="1" applyBorder="1" applyAlignment="1" applyProtection="1">
      <alignment vertical="center"/>
      <protection hidden="1" locked="0"/>
    </xf>
    <xf numFmtId="3" fontId="11" fillId="0" borderId="30" xfId="0" applyNumberFormat="1" applyFont="1" applyBorder="1" applyAlignment="1" applyProtection="1">
      <alignment vertical="center"/>
      <protection hidden="1" locked="0"/>
    </xf>
    <xf numFmtId="3" fontId="11" fillId="0" borderId="53" xfId="0" applyNumberFormat="1" applyFont="1" applyBorder="1" applyAlignment="1" applyProtection="1">
      <alignment vertical="center"/>
      <protection hidden="1" locked="0"/>
    </xf>
    <xf numFmtId="41" fontId="14" fillId="0" borderId="65" xfId="0" applyNumberFormat="1" applyFont="1" applyBorder="1" applyAlignment="1" applyProtection="1">
      <alignment/>
      <protection hidden="1" locked="0"/>
    </xf>
    <xf numFmtId="0" fontId="15" fillId="0" borderId="66" xfId="0" applyFont="1" applyBorder="1" applyAlignment="1" applyProtection="1">
      <alignment vertical="center"/>
      <protection hidden="1" locked="0"/>
    </xf>
    <xf numFmtId="0" fontId="11" fillId="0" borderId="15" xfId="0" applyFont="1" applyBorder="1" applyAlignment="1" applyProtection="1">
      <alignment vertical="center"/>
      <protection hidden="1" locked="0"/>
    </xf>
    <xf numFmtId="0" fontId="11" fillId="0" borderId="14" xfId="0" applyFont="1" applyBorder="1" applyAlignment="1" applyProtection="1">
      <alignment vertical="center"/>
      <protection hidden="1" locked="0"/>
    </xf>
    <xf numFmtId="0" fontId="16" fillId="0" borderId="14" xfId="0" applyFont="1" applyBorder="1" applyAlignment="1" applyProtection="1">
      <alignment vertical="center"/>
      <protection hidden="1" locked="0"/>
    </xf>
    <xf numFmtId="0" fontId="16" fillId="0" borderId="55" xfId="0" applyFont="1" applyBorder="1" applyAlignment="1" applyProtection="1">
      <alignment vertical="center"/>
      <protection hidden="1" locked="0"/>
    </xf>
    <xf numFmtId="0" fontId="16" fillId="0" borderId="15" xfId="0" applyFont="1" applyBorder="1" applyAlignment="1" applyProtection="1">
      <alignment vertical="center"/>
      <protection hidden="1" locked="0"/>
    </xf>
    <xf numFmtId="0" fontId="14" fillId="0" borderId="33" xfId="0" applyFont="1" applyBorder="1" applyAlignment="1" applyProtection="1">
      <alignment vertical="center"/>
      <protection hidden="1" locked="0"/>
    </xf>
    <xf numFmtId="0" fontId="0" fillId="56" borderId="0" xfId="0" applyFill="1" applyBorder="1" applyAlignment="1" applyProtection="1">
      <alignment/>
      <protection hidden="1"/>
    </xf>
    <xf numFmtId="0" fontId="155" fillId="0" borderId="0" xfId="0" applyFont="1" applyAlignment="1" applyProtection="1">
      <alignment/>
      <protection hidden="1"/>
    </xf>
    <xf numFmtId="0" fontId="0" fillId="0" borderId="67" xfId="0" applyBorder="1" applyAlignment="1" applyProtection="1">
      <alignment/>
      <protection hidden="1" locked="0"/>
    </xf>
    <xf numFmtId="189" fontId="0" fillId="0" borderId="0" xfId="0" applyNumberFormat="1" applyAlignment="1" applyProtection="1">
      <alignment/>
      <protection hidden="1"/>
    </xf>
    <xf numFmtId="14" fontId="0" fillId="0" borderId="0" xfId="0" applyNumberFormat="1" applyAlignment="1" applyProtection="1">
      <alignment/>
      <protection hidden="1"/>
    </xf>
    <xf numFmtId="182" fontId="0" fillId="0" borderId="0" xfId="0" applyNumberFormat="1" applyAlignment="1" applyProtection="1">
      <alignment/>
      <protection hidden="1"/>
    </xf>
    <xf numFmtId="0" fontId="81" fillId="0" borderId="68" xfId="0" applyFont="1" applyBorder="1" applyAlignment="1" applyProtection="1">
      <alignment horizontal="center" vertical="center" wrapText="1"/>
      <protection hidden="1"/>
    </xf>
    <xf numFmtId="0" fontId="29" fillId="0" borderId="68" xfId="0" applyFont="1" applyBorder="1" applyAlignment="1" applyProtection="1">
      <alignment horizontal="center" vertical="center" wrapText="1"/>
      <protection hidden="1"/>
    </xf>
    <xf numFmtId="0" fontId="29" fillId="0" borderId="69" xfId="0" applyFont="1" applyBorder="1" applyAlignment="1" applyProtection="1">
      <alignment horizontal="center" vertical="center" wrapText="1"/>
      <protection hidden="1"/>
    </xf>
    <xf numFmtId="0" fontId="29" fillId="0" borderId="20" xfId="0" applyFont="1" applyBorder="1" applyAlignment="1" applyProtection="1">
      <alignment horizontal="center" vertical="center" wrapText="1"/>
      <protection hidden="1"/>
    </xf>
    <xf numFmtId="0" fontId="29" fillId="0" borderId="70" xfId="0" applyFont="1" applyBorder="1" applyAlignment="1" applyProtection="1">
      <alignment horizontal="center" vertical="center" wrapText="1"/>
      <protection hidden="1"/>
    </xf>
    <xf numFmtId="0" fontId="158" fillId="0" borderId="0" xfId="0" applyFont="1" applyAlignment="1" applyProtection="1">
      <alignment/>
      <protection hidden="1" locked="0"/>
    </xf>
    <xf numFmtId="0" fontId="154" fillId="0" borderId="0" xfId="0" applyFont="1" applyAlignment="1" applyProtection="1">
      <alignment/>
      <protection hidden="1" locked="0"/>
    </xf>
    <xf numFmtId="0" fontId="33" fillId="0" borderId="18" xfId="0" applyFont="1" applyBorder="1" applyAlignment="1" applyProtection="1">
      <alignment vertical="center" wrapText="1"/>
      <protection hidden="1" locked="0"/>
    </xf>
    <xf numFmtId="0" fontId="159" fillId="0" borderId="0" xfId="0" applyFont="1" applyAlignment="1" applyProtection="1">
      <alignment/>
      <protection hidden="1" locked="0"/>
    </xf>
    <xf numFmtId="0" fontId="160" fillId="0" borderId="0" xfId="0" applyFont="1" applyAlignment="1" applyProtection="1">
      <alignment/>
      <protection hidden="1"/>
    </xf>
    <xf numFmtId="0" fontId="0" fillId="0" borderId="0" xfId="0" applyAlignment="1" applyProtection="1" quotePrefix="1">
      <alignment/>
      <protection hidden="1" locked="0"/>
    </xf>
    <xf numFmtId="0" fontId="4" fillId="52" borderId="20" xfId="0" applyFont="1" applyFill="1" applyBorder="1" applyAlignment="1" applyProtection="1">
      <alignment horizontal="center" vertical="center" wrapText="1"/>
      <protection hidden="1" locked="0"/>
    </xf>
    <xf numFmtId="0" fontId="4" fillId="52" borderId="20" xfId="0" applyFont="1" applyFill="1" applyBorder="1" applyAlignment="1" applyProtection="1">
      <alignment horizontal="center" vertical="center"/>
      <protection hidden="1"/>
    </xf>
    <xf numFmtId="1" fontId="4" fillId="52" borderId="20" xfId="0" applyNumberFormat="1" applyFont="1" applyFill="1" applyBorder="1" applyAlignment="1" applyProtection="1">
      <alignment horizontal="center" vertical="center"/>
      <protection hidden="1"/>
    </xf>
    <xf numFmtId="0" fontId="34" fillId="0" borderId="20" xfId="0" applyFont="1" applyBorder="1" applyAlignment="1" applyProtection="1">
      <alignment horizontal="center" vertical="center" wrapText="1"/>
      <protection hidden="1" locked="0"/>
    </xf>
    <xf numFmtId="0" fontId="9" fillId="0" borderId="0" xfId="57" applyFill="1" applyAlignment="1" applyProtection="1">
      <alignment horizontal="center" vertical="center"/>
      <protection hidden="1"/>
    </xf>
    <xf numFmtId="0" fontId="9" fillId="0" borderId="0" xfId="57" applyFont="1" applyFill="1" applyBorder="1" applyAlignment="1" applyProtection="1">
      <alignment horizontal="center" vertical="center"/>
      <protection hidden="1"/>
    </xf>
    <xf numFmtId="0" fontId="37" fillId="0" borderId="0" xfId="57" applyFont="1" applyFill="1" applyAlignment="1" applyProtection="1">
      <alignment horizontal="left" vertical="center"/>
      <protection hidden="1"/>
    </xf>
    <xf numFmtId="0" fontId="9" fillId="0" borderId="0" xfId="57" applyFill="1" applyBorder="1" applyAlignment="1" applyProtection="1">
      <alignment horizontal="center" vertical="center"/>
      <protection hidden="1"/>
    </xf>
    <xf numFmtId="0" fontId="40" fillId="0" borderId="20" xfId="57" applyFont="1" applyFill="1" applyBorder="1" applyAlignment="1" applyProtection="1">
      <alignment horizontal="center" vertical="center"/>
      <protection hidden="1"/>
    </xf>
    <xf numFmtId="2" fontId="40" fillId="0" borderId="20" xfId="57" applyNumberFormat="1" applyFont="1" applyFill="1" applyBorder="1" applyAlignment="1" applyProtection="1">
      <alignment horizontal="center" vertical="center"/>
      <protection/>
    </xf>
    <xf numFmtId="0" fontId="40" fillId="0" borderId="20" xfId="57" applyFont="1" applyFill="1" applyBorder="1" applyAlignment="1" applyProtection="1">
      <alignment horizontal="left" vertical="center"/>
      <protection/>
    </xf>
    <xf numFmtId="0" fontId="40" fillId="0" borderId="0" xfId="57" applyFont="1" applyFill="1" applyBorder="1" applyAlignment="1" applyProtection="1">
      <alignment horizontal="left" vertical="center"/>
      <protection hidden="1"/>
    </xf>
    <xf numFmtId="0" fontId="9" fillId="0" borderId="0" xfId="57" applyFont="1" applyFill="1" applyAlignment="1" applyProtection="1">
      <alignment horizontal="center" vertical="center"/>
      <protection hidden="1"/>
    </xf>
    <xf numFmtId="1" fontId="40" fillId="0" borderId="20" xfId="57" applyNumberFormat="1" applyFont="1" applyFill="1" applyBorder="1" applyAlignment="1" applyProtection="1">
      <alignment horizontal="center" vertical="center"/>
      <protection/>
    </xf>
    <xf numFmtId="0" fontId="0" fillId="0" borderId="0" xfId="0" applyAlignment="1">
      <alignment horizontal="center"/>
    </xf>
    <xf numFmtId="0" fontId="0" fillId="38" borderId="0" xfId="0" applyFill="1" applyAlignment="1" applyProtection="1">
      <alignment/>
      <protection hidden="1"/>
    </xf>
    <xf numFmtId="0" fontId="0" fillId="38" borderId="16" xfId="0" applyFill="1" applyBorder="1" applyAlignment="1" applyProtection="1">
      <alignment/>
      <protection hidden="1"/>
    </xf>
    <xf numFmtId="0" fontId="15" fillId="0" borderId="0" xfId="0" applyFont="1" applyFill="1" applyBorder="1" applyAlignment="1" applyProtection="1">
      <alignment horizontal="left"/>
      <protection hidden="1" locked="0"/>
    </xf>
    <xf numFmtId="0" fontId="156" fillId="0" borderId="20" xfId="0" applyFont="1" applyBorder="1" applyAlignment="1" applyProtection="1">
      <alignment vertical="center"/>
      <protection hidden="1" locked="0"/>
    </xf>
    <xf numFmtId="0" fontId="161" fillId="57" borderId="20" xfId="0" applyFont="1" applyFill="1" applyBorder="1" applyAlignment="1" applyProtection="1">
      <alignment vertical="center" wrapText="1"/>
      <protection hidden="1"/>
    </xf>
    <xf numFmtId="0" fontId="161" fillId="58" borderId="20" xfId="0" applyFont="1" applyFill="1" applyBorder="1" applyAlignment="1" applyProtection="1">
      <alignment horizontal="center" vertical="center"/>
      <protection hidden="1" locked="0"/>
    </xf>
    <xf numFmtId="0" fontId="162" fillId="59" borderId="20" xfId="0" applyFont="1" applyFill="1" applyBorder="1" applyAlignment="1" applyProtection="1">
      <alignment vertical="center" wrapText="1"/>
      <protection hidden="1"/>
    </xf>
    <xf numFmtId="0" fontId="162" fillId="60" borderId="20" xfId="0" applyFont="1" applyFill="1" applyBorder="1" applyAlignment="1" applyProtection="1">
      <alignment horizontal="right" vertical="center" wrapText="1"/>
      <protection hidden="1"/>
    </xf>
    <xf numFmtId="0" fontId="156" fillId="0" borderId="20" xfId="0" applyFont="1" applyBorder="1" applyAlignment="1" applyProtection="1">
      <alignment/>
      <protection hidden="1" locked="0"/>
    </xf>
    <xf numFmtId="0" fontId="0" fillId="0" borderId="20" xfId="0" applyBorder="1" applyAlignment="1" applyProtection="1">
      <alignment/>
      <protection hidden="1" locked="0"/>
    </xf>
    <xf numFmtId="0" fontId="161" fillId="0" borderId="20" xfId="0" applyFont="1" applyBorder="1" applyAlignment="1" applyProtection="1">
      <alignment/>
      <protection hidden="1" locked="0"/>
    </xf>
    <xf numFmtId="0" fontId="161" fillId="0" borderId="20" xfId="0" applyFont="1" applyBorder="1" applyAlignment="1" applyProtection="1">
      <alignment/>
      <protection hidden="1" locked="0"/>
    </xf>
    <xf numFmtId="0" fontId="161" fillId="61" borderId="20" xfId="0" applyFont="1" applyFill="1" applyBorder="1" applyAlignment="1" applyProtection="1">
      <alignment vertical="center"/>
      <protection hidden="1" locked="0"/>
    </xf>
    <xf numFmtId="0" fontId="161" fillId="36" borderId="20" xfId="0" applyFont="1" applyFill="1" applyBorder="1" applyAlignment="1" applyProtection="1">
      <alignment horizontal="center" vertical="center"/>
      <protection hidden="1" locked="0"/>
    </xf>
    <xf numFmtId="0" fontId="161" fillId="62" borderId="20" xfId="0" applyFont="1" applyFill="1" applyBorder="1" applyAlignment="1" applyProtection="1">
      <alignment horizontal="center" vertical="center"/>
      <protection hidden="1" locked="0"/>
    </xf>
    <xf numFmtId="0" fontId="161" fillId="63" borderId="67" xfId="0" applyFont="1" applyFill="1" applyBorder="1" applyAlignment="1" applyProtection="1">
      <alignment horizontal="center" vertical="center"/>
      <protection hidden="1" locked="0"/>
    </xf>
    <xf numFmtId="0" fontId="0" fillId="0" borderId="68" xfId="0" applyBorder="1" applyAlignment="1" applyProtection="1">
      <alignment/>
      <protection hidden="1" locked="0"/>
    </xf>
    <xf numFmtId="0" fontId="153" fillId="64" borderId="20" xfId="0" applyFont="1" applyFill="1" applyBorder="1" applyAlignment="1" applyProtection="1">
      <alignment horizontal="left" vertical="center"/>
      <protection hidden="1"/>
    </xf>
    <xf numFmtId="0" fontId="2" fillId="65" borderId="20" xfId="0" applyFont="1" applyFill="1" applyBorder="1" applyAlignment="1" applyProtection="1">
      <alignment horizontal="left" vertical="center"/>
      <protection hidden="1" locked="0"/>
    </xf>
    <xf numFmtId="0" fontId="2" fillId="66" borderId="20" xfId="0" applyFont="1" applyFill="1" applyBorder="1" applyAlignment="1" applyProtection="1">
      <alignment horizontal="right" vertical="center"/>
      <protection hidden="1" locked="0"/>
    </xf>
    <xf numFmtId="0" fontId="153" fillId="32" borderId="67" xfId="0" applyFont="1" applyFill="1" applyBorder="1" applyAlignment="1" applyProtection="1">
      <alignment horizontal="center" vertical="center"/>
      <protection hidden="1" locked="0"/>
    </xf>
    <xf numFmtId="0" fontId="163" fillId="67" borderId="20" xfId="0" applyFont="1" applyFill="1" applyBorder="1" applyAlignment="1" applyProtection="1">
      <alignment horizontal="left" vertical="center"/>
      <protection hidden="1"/>
    </xf>
    <xf numFmtId="0" fontId="153" fillId="68" borderId="20" xfId="0" applyFont="1" applyFill="1" applyBorder="1" applyAlignment="1" applyProtection="1">
      <alignment horizontal="left" vertical="center"/>
      <protection hidden="1" locked="0"/>
    </xf>
    <xf numFmtId="0" fontId="163" fillId="69" borderId="20" xfId="0" applyFont="1" applyFill="1" applyBorder="1" applyAlignment="1" applyProtection="1">
      <alignment horizontal="center" vertical="center" wrapText="1"/>
      <protection hidden="1" locked="0"/>
    </xf>
    <xf numFmtId="0" fontId="153" fillId="32" borderId="71" xfId="0" applyFont="1" applyFill="1" applyBorder="1" applyAlignment="1" applyProtection="1">
      <alignment horizontal="center" vertical="center"/>
      <protection hidden="1" locked="0"/>
    </xf>
    <xf numFmtId="0" fontId="16" fillId="0" borderId="72" xfId="0" applyFont="1" applyBorder="1" applyAlignment="1" applyProtection="1">
      <alignment/>
      <protection hidden="1" locked="0"/>
    </xf>
    <xf numFmtId="0" fontId="14" fillId="0" borderId="45" xfId="0" applyFont="1" applyBorder="1" applyAlignment="1" applyProtection="1">
      <alignment horizontal="center"/>
      <protection hidden="1" locked="0"/>
    </xf>
    <xf numFmtId="41" fontId="14" fillId="0" borderId="45" xfId="0" applyNumberFormat="1" applyFont="1" applyBorder="1" applyAlignment="1" applyProtection="1">
      <alignment/>
      <protection hidden="1" locked="0"/>
    </xf>
    <xf numFmtId="0" fontId="14" fillId="0" borderId="45" xfId="0" applyFont="1" applyBorder="1" applyAlignment="1" applyProtection="1">
      <alignment/>
      <protection hidden="1" locked="0"/>
    </xf>
    <xf numFmtId="0" fontId="14" fillId="0" borderId="45" xfId="0" applyFont="1" applyBorder="1" applyAlignment="1" applyProtection="1">
      <alignment horizontal="center"/>
      <protection hidden="1"/>
    </xf>
    <xf numFmtId="0" fontId="14" fillId="0" borderId="73" xfId="0" applyFont="1" applyBorder="1" applyAlignment="1" applyProtection="1">
      <alignment horizontal="center"/>
      <protection hidden="1" locked="0"/>
    </xf>
    <xf numFmtId="41" fontId="14" fillId="0" borderId="13" xfId="0" applyNumberFormat="1" applyFont="1" applyBorder="1" applyAlignment="1" applyProtection="1">
      <alignment horizontal="right"/>
      <protection hidden="1" locked="0"/>
    </xf>
    <xf numFmtId="41" fontId="20" fillId="0" borderId="21" xfId="0" applyNumberFormat="1" applyFont="1" applyBorder="1" applyAlignment="1" applyProtection="1">
      <alignment/>
      <protection hidden="1" locked="0"/>
    </xf>
    <xf numFmtId="0" fontId="14" fillId="0" borderId="74" xfId="0" applyFont="1" applyBorder="1" applyAlignment="1" applyProtection="1">
      <alignment horizontal="center"/>
      <protection hidden="1" locked="0"/>
    </xf>
    <xf numFmtId="41" fontId="15" fillId="0" borderId="24" xfId="0" applyNumberFormat="1" applyFont="1" applyBorder="1" applyAlignment="1" applyProtection="1">
      <alignment/>
      <protection hidden="1" locked="0"/>
    </xf>
    <xf numFmtId="41" fontId="14" fillId="0" borderId="45" xfId="0" applyNumberFormat="1" applyFont="1" applyBorder="1" applyAlignment="1" applyProtection="1">
      <alignment vertical="center"/>
      <protection hidden="1" locked="0"/>
    </xf>
    <xf numFmtId="41" fontId="14" fillId="0" borderId="75" xfId="0" applyNumberFormat="1" applyFont="1" applyBorder="1" applyAlignment="1" applyProtection="1">
      <alignment/>
      <protection hidden="1" locked="0"/>
    </xf>
    <xf numFmtId="0" fontId="14" fillId="0" borderId="51" xfId="0" applyFont="1" applyBorder="1" applyAlignment="1" applyProtection="1">
      <alignment horizontal="center"/>
      <protection hidden="1" locked="0"/>
    </xf>
    <xf numFmtId="0" fontId="14" fillId="0" borderId="27" xfId="0" applyFont="1" applyBorder="1" applyAlignment="1" applyProtection="1">
      <alignment horizontal="center" vertical="center"/>
      <protection hidden="1" locked="0"/>
    </xf>
    <xf numFmtId="41" fontId="14" fillId="0" borderId="73" xfId="0" applyNumberFormat="1" applyFont="1" applyBorder="1" applyAlignment="1" applyProtection="1">
      <alignment vertical="center"/>
      <protection hidden="1" locked="0"/>
    </xf>
    <xf numFmtId="0" fontId="14" fillId="0" borderId="53" xfId="0" applyFont="1" applyBorder="1" applyAlignment="1" applyProtection="1">
      <alignment horizontal="center"/>
      <protection hidden="1" locked="0"/>
    </xf>
    <xf numFmtId="0" fontId="14" fillId="0" borderId="72" xfId="0" applyFont="1" applyBorder="1" applyAlignment="1" applyProtection="1">
      <alignment horizontal="center"/>
      <protection hidden="1" locked="0"/>
    </xf>
    <xf numFmtId="41" fontId="14" fillId="0" borderId="76" xfId="0" applyNumberFormat="1" applyFont="1" applyBorder="1" applyAlignment="1" applyProtection="1">
      <alignment/>
      <protection hidden="1" locked="0"/>
    </xf>
    <xf numFmtId="41" fontId="14" fillId="0" borderId="77" xfId="0" applyNumberFormat="1" applyFont="1" applyBorder="1" applyAlignment="1" applyProtection="1">
      <alignment/>
      <protection hidden="1" locked="0"/>
    </xf>
    <xf numFmtId="41" fontId="15" fillId="0" borderId="78" xfId="0" applyNumberFormat="1" applyFont="1" applyBorder="1" applyAlignment="1" applyProtection="1">
      <alignment/>
      <protection hidden="1" locked="0"/>
    </xf>
    <xf numFmtId="0" fontId="161" fillId="70" borderId="20" xfId="0" applyFont="1" applyFill="1" applyBorder="1" applyAlignment="1" applyProtection="1">
      <alignment horizontal="left" vertical="center" wrapText="1"/>
      <protection hidden="1"/>
    </xf>
    <xf numFmtId="41" fontId="15" fillId="0" borderId="0" xfId="0" applyNumberFormat="1" applyFont="1" applyBorder="1" applyAlignment="1" applyProtection="1">
      <alignment/>
      <protection hidden="1" locked="0"/>
    </xf>
    <xf numFmtId="0" fontId="15" fillId="0" borderId="66" xfId="0" applyFont="1" applyBorder="1" applyAlignment="1" applyProtection="1">
      <alignment horizontal="center"/>
      <protection hidden="1"/>
    </xf>
    <xf numFmtId="0" fontId="164" fillId="71" borderId="10" xfId="0" applyFont="1" applyFill="1" applyBorder="1" applyAlignment="1" applyProtection="1">
      <alignment/>
      <protection hidden="1" locked="0"/>
    </xf>
    <xf numFmtId="14" fontId="0" fillId="0" borderId="0" xfId="0" applyNumberFormat="1" applyAlignment="1" applyProtection="1">
      <alignment horizontal="right"/>
      <protection hidden="1"/>
    </xf>
    <xf numFmtId="0" fontId="88" fillId="0" borderId="0" xfId="0" applyFont="1" applyAlignment="1" applyProtection="1">
      <alignment/>
      <protection hidden="1"/>
    </xf>
    <xf numFmtId="0" fontId="0" fillId="72" borderId="0" xfId="0" applyFill="1" applyAlignment="1" applyProtection="1">
      <alignment/>
      <protection hidden="1"/>
    </xf>
    <xf numFmtId="14" fontId="0" fillId="72" borderId="0" xfId="0" applyNumberFormat="1" applyFill="1" applyAlignment="1" applyProtection="1">
      <alignment/>
      <protection hidden="1"/>
    </xf>
    <xf numFmtId="0" fontId="0" fillId="72" borderId="0" xfId="0" applyFont="1" applyFill="1" applyAlignment="1" applyProtection="1">
      <alignment/>
      <protection hidden="1"/>
    </xf>
    <xf numFmtId="0" fontId="155" fillId="52" borderId="68" xfId="0" applyFont="1" applyFill="1" applyBorder="1" applyAlignment="1" applyProtection="1">
      <alignment horizontal="center" vertical="center" wrapText="1"/>
      <protection hidden="1"/>
    </xf>
    <xf numFmtId="0" fontId="165" fillId="52" borderId="20" xfId="0" applyFont="1" applyFill="1" applyBorder="1" applyAlignment="1" applyProtection="1">
      <alignment horizontal="center" vertical="center" wrapText="1"/>
      <protection hidden="1"/>
    </xf>
    <xf numFmtId="0" fontId="155" fillId="52" borderId="20" xfId="0" applyFont="1" applyFill="1" applyBorder="1" applyAlignment="1" applyProtection="1">
      <alignment horizontal="center" vertical="center" wrapText="1"/>
      <protection hidden="1"/>
    </xf>
    <xf numFmtId="0" fontId="155" fillId="52" borderId="67" xfId="0" applyFont="1" applyFill="1" applyBorder="1" applyAlignment="1" applyProtection="1">
      <alignment horizontal="center" vertical="center" wrapText="1"/>
      <protection hidden="1"/>
    </xf>
    <xf numFmtId="0" fontId="0" fillId="0" borderId="20" xfId="0" applyFont="1" applyBorder="1" applyAlignment="1" applyProtection="1">
      <alignment/>
      <protection hidden="1"/>
    </xf>
    <xf numFmtId="0" fontId="0" fillId="0" borderId="67" xfId="0" applyBorder="1" applyAlignment="1" applyProtection="1">
      <alignment/>
      <protection hidden="1"/>
    </xf>
    <xf numFmtId="0" fontId="0" fillId="73" borderId="68" xfId="0" applyFill="1" applyBorder="1" applyAlignment="1" applyProtection="1">
      <alignment/>
      <protection hidden="1"/>
    </xf>
    <xf numFmtId="0" fontId="0" fillId="74" borderId="20" xfId="0" applyFill="1" applyBorder="1" applyAlignment="1" applyProtection="1">
      <alignment/>
      <protection hidden="1"/>
    </xf>
    <xf numFmtId="0" fontId="166" fillId="75" borderId="20" xfId="0" applyFont="1" applyFill="1" applyBorder="1" applyAlignment="1" applyProtection="1">
      <alignment/>
      <protection hidden="1"/>
    </xf>
    <xf numFmtId="0" fontId="0" fillId="76" borderId="68" xfId="0" applyFill="1" applyBorder="1" applyAlignment="1" applyProtection="1">
      <alignment horizontal="center"/>
      <protection hidden="1"/>
    </xf>
    <xf numFmtId="0" fontId="0" fillId="77" borderId="20" xfId="0" applyFill="1" applyBorder="1" applyAlignment="1" applyProtection="1">
      <alignment horizontal="center"/>
      <protection hidden="1"/>
    </xf>
    <xf numFmtId="0" fontId="0" fillId="78" borderId="20" xfId="0" applyFill="1" applyBorder="1" applyAlignment="1" applyProtection="1">
      <alignment horizontal="left"/>
      <protection hidden="1"/>
    </xf>
    <xf numFmtId="0" fontId="0" fillId="79" borderId="69" xfId="0" applyFill="1" applyBorder="1" applyAlignment="1" applyProtection="1">
      <alignment horizontal="center"/>
      <protection hidden="1"/>
    </xf>
    <xf numFmtId="0" fontId="0" fillId="80" borderId="70" xfId="0" applyFill="1" applyBorder="1" applyAlignment="1" applyProtection="1">
      <alignment horizontal="left"/>
      <protection hidden="1"/>
    </xf>
    <xf numFmtId="0" fontId="0" fillId="81" borderId="70" xfId="0" applyFill="1" applyBorder="1" applyAlignment="1" applyProtection="1">
      <alignment horizontal="center"/>
      <protection hidden="1"/>
    </xf>
    <xf numFmtId="0" fontId="0" fillId="82" borderId="70" xfId="0" applyFill="1" applyBorder="1" applyAlignment="1" applyProtection="1">
      <alignment/>
      <protection hidden="1"/>
    </xf>
    <xf numFmtId="3" fontId="15" fillId="0" borderId="33" xfId="0" applyNumberFormat="1" applyFont="1" applyBorder="1" applyAlignment="1" applyProtection="1">
      <alignment/>
      <protection hidden="1"/>
    </xf>
    <xf numFmtId="0" fontId="153" fillId="32" borderId="20" xfId="0" applyFont="1" applyFill="1" applyBorder="1" applyAlignment="1" applyProtection="1">
      <alignment horizontal="center"/>
      <protection hidden="1" locked="0"/>
    </xf>
    <xf numFmtId="0" fontId="167" fillId="83" borderId="10" xfId="0" applyFont="1" applyFill="1" applyBorder="1" applyAlignment="1" applyProtection="1">
      <alignment horizontal="left"/>
      <protection hidden="1" locked="0"/>
    </xf>
    <xf numFmtId="0" fontId="0" fillId="49" borderId="0" xfId="0" applyNumberFormat="1" applyFill="1" applyAlignment="1" applyProtection="1">
      <alignment/>
      <protection hidden="1"/>
    </xf>
    <xf numFmtId="0" fontId="0" fillId="0" borderId="0" xfId="0" applyNumberFormat="1" applyAlignment="1" applyProtection="1">
      <alignment/>
      <protection hidden="1"/>
    </xf>
    <xf numFmtId="0" fontId="47" fillId="0" borderId="79" xfId="0" applyNumberFormat="1" applyFont="1" applyFill="1" applyBorder="1" applyAlignment="1" applyProtection="1">
      <alignment horizontal="left"/>
      <protection hidden="1"/>
    </xf>
    <xf numFmtId="0" fontId="168" fillId="0" borderId="80" xfId="0" applyNumberFormat="1" applyFont="1" applyBorder="1" applyAlignment="1" applyProtection="1">
      <alignment/>
      <protection hidden="1"/>
    </xf>
    <xf numFmtId="0" fontId="153" fillId="0" borderId="80" xfId="0" applyNumberFormat="1" applyFont="1" applyBorder="1" applyAlignment="1" applyProtection="1">
      <alignment/>
      <protection hidden="1"/>
    </xf>
    <xf numFmtId="0" fontId="47" fillId="0" borderId="81" xfId="0" applyNumberFormat="1" applyFont="1" applyFill="1" applyBorder="1" applyAlignment="1" applyProtection="1">
      <alignment horizontal="left"/>
      <protection hidden="1"/>
    </xf>
    <xf numFmtId="0" fontId="168" fillId="0" borderId="82" xfId="0" applyNumberFormat="1" applyFont="1" applyBorder="1" applyAlignment="1" applyProtection="1">
      <alignment/>
      <protection hidden="1"/>
    </xf>
    <xf numFmtId="0" fontId="153" fillId="0" borderId="82" xfId="0" applyNumberFormat="1" applyFont="1" applyBorder="1" applyAlignment="1" applyProtection="1">
      <alignment/>
      <protection hidden="1"/>
    </xf>
    <xf numFmtId="0" fontId="169" fillId="4" borderId="0" xfId="0" applyNumberFormat="1" applyFont="1" applyFill="1" applyAlignment="1" applyProtection="1">
      <alignment vertical="center"/>
      <protection hidden="1"/>
    </xf>
    <xf numFmtId="0" fontId="0" fillId="4" borderId="0" xfId="0" applyNumberFormat="1" applyFill="1" applyAlignment="1" applyProtection="1">
      <alignment/>
      <protection hidden="1"/>
    </xf>
    <xf numFmtId="0" fontId="170" fillId="4" borderId="0" xfId="0" applyNumberFormat="1" applyFont="1" applyFill="1" applyAlignment="1" applyProtection="1">
      <alignment vertical="center"/>
      <protection hidden="1"/>
    </xf>
    <xf numFmtId="0" fontId="171" fillId="4" borderId="0" xfId="0" applyNumberFormat="1" applyFont="1" applyFill="1" applyAlignment="1" applyProtection="1">
      <alignment vertical="center"/>
      <protection hidden="1"/>
    </xf>
    <xf numFmtId="0" fontId="172" fillId="84" borderId="10" xfId="0" applyFont="1" applyFill="1" applyBorder="1" applyAlignment="1" applyProtection="1">
      <alignment horizontal="left" vertical="center"/>
      <protection hidden="1"/>
    </xf>
    <xf numFmtId="0" fontId="0" fillId="85" borderId="0" xfId="0" applyFill="1" applyBorder="1" applyAlignment="1" applyProtection="1">
      <alignment/>
      <protection hidden="1"/>
    </xf>
    <xf numFmtId="0" fontId="173" fillId="86" borderId="10" xfId="0" applyFont="1" applyFill="1" applyBorder="1" applyAlignment="1" applyProtection="1">
      <alignment/>
      <protection hidden="1"/>
    </xf>
    <xf numFmtId="0" fontId="147" fillId="38" borderId="0" xfId="53" applyFill="1" applyAlignment="1" applyProtection="1">
      <alignment vertical="top"/>
      <protection hidden="1" locked="0"/>
    </xf>
    <xf numFmtId="0" fontId="156" fillId="36" borderId="0" xfId="0" applyFont="1" applyFill="1" applyAlignment="1" applyProtection="1">
      <alignment vertical="center"/>
      <protection hidden="1" locked="0"/>
    </xf>
    <xf numFmtId="0" fontId="0" fillId="0" borderId="67" xfId="0" applyBorder="1" applyAlignment="1" applyProtection="1">
      <alignment/>
      <protection hidden="1"/>
    </xf>
    <xf numFmtId="0" fontId="162" fillId="87" borderId="23" xfId="0" applyFont="1" applyFill="1" applyBorder="1" applyAlignment="1" applyProtection="1">
      <alignment horizontal="left" vertical="center" wrapText="1"/>
      <protection hidden="1"/>
    </xf>
    <xf numFmtId="0" fontId="174" fillId="88" borderId="23" xfId="0" applyFont="1" applyFill="1" applyBorder="1" applyAlignment="1" applyProtection="1">
      <alignment horizontal="center" vertical="center" wrapText="1"/>
      <protection hidden="1"/>
    </xf>
    <xf numFmtId="0" fontId="0" fillId="4" borderId="0" xfId="0" applyFill="1" applyAlignment="1">
      <alignment/>
    </xf>
    <xf numFmtId="0" fontId="175" fillId="32" borderId="20" xfId="0" applyFont="1" applyFill="1" applyBorder="1" applyAlignment="1" applyProtection="1">
      <alignment horizontal="center"/>
      <protection hidden="1" locked="0"/>
    </xf>
    <xf numFmtId="0" fontId="175" fillId="32" borderId="20" xfId="0" applyFont="1" applyFill="1" applyBorder="1" applyAlignment="1" applyProtection="1">
      <alignment horizontal="center" vertical="center"/>
      <protection hidden="1" locked="0"/>
    </xf>
    <xf numFmtId="0" fontId="0" fillId="0" borderId="0" xfId="0" applyFill="1" applyAlignment="1" applyProtection="1">
      <alignment/>
      <protection hidden="1" locked="0"/>
    </xf>
    <xf numFmtId="0" fontId="176" fillId="0" borderId="0" xfId="0" applyFont="1" applyAlignment="1">
      <alignment vertical="center" wrapText="1"/>
    </xf>
    <xf numFmtId="0" fontId="153" fillId="2" borderId="0" xfId="0" applyFont="1" applyFill="1" applyAlignment="1" applyProtection="1">
      <alignment/>
      <protection hidden="1" locked="0"/>
    </xf>
    <xf numFmtId="0" fontId="161" fillId="89" borderId="20" xfId="0" applyFont="1" applyFill="1" applyBorder="1" applyAlignment="1" applyProtection="1">
      <alignment horizontal="center" vertical="center" shrinkToFit="1"/>
      <protection hidden="1" locked="0"/>
    </xf>
    <xf numFmtId="191" fontId="0" fillId="0" borderId="0" xfId="0" applyNumberFormat="1" applyAlignment="1" applyProtection="1">
      <alignment/>
      <protection hidden="1" locked="0"/>
    </xf>
    <xf numFmtId="0" fontId="153" fillId="36" borderId="0" xfId="0" applyFont="1" applyFill="1" applyAlignment="1" applyProtection="1">
      <alignment/>
      <protection hidden="1" locked="0"/>
    </xf>
    <xf numFmtId="0" fontId="0" fillId="0" borderId="0" xfId="0" applyAlignment="1" applyProtection="1">
      <alignment wrapText="1"/>
      <protection hidden="1" locked="0"/>
    </xf>
    <xf numFmtId="0" fontId="177" fillId="0" borderId="83" xfId="0" applyFont="1" applyBorder="1" applyAlignment="1">
      <alignment horizontal="center" vertical="center" wrapText="1"/>
    </xf>
    <xf numFmtId="0" fontId="177" fillId="0" borderId="0" xfId="0" applyFont="1" applyBorder="1" applyAlignment="1">
      <alignment horizontal="center" vertical="center" wrapText="1"/>
    </xf>
    <xf numFmtId="0" fontId="177" fillId="0" borderId="84" xfId="0" applyFont="1" applyBorder="1" applyAlignment="1">
      <alignment horizontal="center" vertical="center" wrapText="1"/>
    </xf>
    <xf numFmtId="0" fontId="178" fillId="90" borderId="85" xfId="0" applyFont="1" applyFill="1" applyBorder="1" applyAlignment="1" applyProtection="1">
      <alignment vertical="center"/>
      <protection hidden="1"/>
    </xf>
    <xf numFmtId="0" fontId="178" fillId="90" borderId="22" xfId="0" applyFont="1" applyFill="1" applyBorder="1" applyAlignment="1" applyProtection="1">
      <alignment vertical="center"/>
      <protection hidden="1"/>
    </xf>
    <xf numFmtId="0" fontId="179" fillId="90" borderId="85" xfId="0" applyFont="1" applyFill="1" applyBorder="1" applyAlignment="1" applyProtection="1">
      <alignment vertical="center"/>
      <protection hidden="1"/>
    </xf>
    <xf numFmtId="0" fontId="180" fillId="90" borderId="86" xfId="0" applyFont="1" applyFill="1" applyBorder="1" applyAlignment="1">
      <alignment horizontal="justify" vertical="center" wrapText="1"/>
    </xf>
    <xf numFmtId="0" fontId="180" fillId="90" borderId="20" xfId="0" applyFont="1" applyFill="1" applyBorder="1" applyAlignment="1">
      <alignment horizontal="center" vertical="center" wrapText="1"/>
    </xf>
    <xf numFmtId="0" fontId="179" fillId="90" borderId="87" xfId="0" applyFont="1" applyFill="1" applyBorder="1" applyAlignment="1">
      <alignment horizontal="center" vertical="center" wrapText="1"/>
    </xf>
    <xf numFmtId="0" fontId="179" fillId="90" borderId="88" xfId="0" applyFont="1" applyFill="1" applyBorder="1" applyAlignment="1" applyProtection="1">
      <alignment vertical="center" wrapText="1"/>
      <protection hidden="1"/>
    </xf>
    <xf numFmtId="0" fontId="179" fillId="90" borderId="89" xfId="0" applyFont="1" applyFill="1" applyBorder="1" applyAlignment="1">
      <alignment horizontal="center" vertical="center" wrapText="1"/>
    </xf>
    <xf numFmtId="0" fontId="179" fillId="90" borderId="90" xfId="0" applyFont="1" applyFill="1" applyBorder="1" applyAlignment="1" applyProtection="1">
      <alignment horizontal="left" vertical="center" wrapText="1"/>
      <protection hidden="1"/>
    </xf>
    <xf numFmtId="192" fontId="179" fillId="90" borderId="91" xfId="42" applyNumberFormat="1" applyFont="1" applyFill="1" applyBorder="1" applyAlignment="1" applyProtection="1">
      <alignment vertical="center" wrapText="1"/>
      <protection hidden="1"/>
    </xf>
    <xf numFmtId="0" fontId="179" fillId="90" borderId="92" xfId="0" applyFont="1" applyFill="1" applyBorder="1" applyAlignment="1" applyProtection="1">
      <alignment horizontal="left" vertical="center" wrapText="1"/>
      <protection hidden="1"/>
    </xf>
    <xf numFmtId="192" fontId="179" fillId="90" borderId="93" xfId="42" applyNumberFormat="1" applyFont="1" applyFill="1" applyBorder="1" applyAlignment="1" applyProtection="1">
      <alignment horizontal="center" vertical="center" wrapText="1"/>
      <protection hidden="1"/>
    </xf>
    <xf numFmtId="44" fontId="62" fillId="90" borderId="94" xfId="0" applyNumberFormat="1" applyFont="1" applyFill="1" applyBorder="1" applyAlignment="1" applyProtection="1">
      <alignment vertical="center"/>
      <protection hidden="1"/>
    </xf>
    <xf numFmtId="44" fontId="179" fillId="90" borderId="94" xfId="0" applyNumberFormat="1" applyFont="1" applyFill="1" applyBorder="1" applyAlignment="1" applyProtection="1">
      <alignment vertical="center"/>
      <protection hidden="1"/>
    </xf>
    <xf numFmtId="192" fontId="179" fillId="90" borderId="93" xfId="42" applyNumberFormat="1" applyFont="1" applyFill="1" applyBorder="1" applyAlignment="1" applyProtection="1">
      <alignment vertical="center" wrapText="1"/>
      <protection hidden="1"/>
    </xf>
    <xf numFmtId="0" fontId="179" fillId="90" borderId="86" xfId="0" applyFont="1" applyFill="1" applyBorder="1" applyAlignment="1">
      <alignment horizontal="center" vertical="center" wrapText="1"/>
    </xf>
    <xf numFmtId="192" fontId="179" fillId="90" borderId="20" xfId="42" applyNumberFormat="1" applyFont="1" applyFill="1" applyBorder="1" applyAlignment="1" applyProtection="1">
      <alignment horizontal="left" vertical="center" wrapText="1"/>
      <protection hidden="1"/>
    </xf>
    <xf numFmtId="192" fontId="179" fillId="90" borderId="88" xfId="42" applyNumberFormat="1" applyFont="1" applyFill="1" applyBorder="1" applyAlignment="1" applyProtection="1">
      <alignment vertical="center" wrapText="1"/>
      <protection hidden="1"/>
    </xf>
    <xf numFmtId="0" fontId="179" fillId="90" borderId="12" xfId="0" applyFont="1" applyFill="1" applyBorder="1" applyAlignment="1" applyProtection="1">
      <alignment horizontal="left" vertical="center" wrapText="1"/>
      <protection hidden="1"/>
    </xf>
    <xf numFmtId="0" fontId="179" fillId="90" borderId="27" xfId="0" applyFont="1" applyFill="1" applyBorder="1" applyAlignment="1" applyProtection="1">
      <alignment horizontal="left" vertical="center" wrapText="1"/>
      <protection hidden="1"/>
    </xf>
    <xf numFmtId="44" fontId="179" fillId="90" borderId="13" xfId="0" applyNumberFormat="1" applyFont="1" applyFill="1" applyBorder="1" applyAlignment="1" applyProtection="1">
      <alignment vertical="center"/>
      <protection hidden="1"/>
    </xf>
    <xf numFmtId="44" fontId="179" fillId="90" borderId="61" xfId="0" applyNumberFormat="1" applyFont="1" applyFill="1" applyBorder="1" applyAlignment="1" applyProtection="1">
      <alignment vertical="center"/>
      <protection hidden="1"/>
    </xf>
    <xf numFmtId="0" fontId="179" fillId="90" borderId="12" xfId="0" applyFont="1" applyFill="1" applyBorder="1" applyAlignment="1" applyProtection="1">
      <alignment horizontal="right" vertical="center" wrapText="1"/>
      <protection hidden="1"/>
    </xf>
    <xf numFmtId="0" fontId="179" fillId="90" borderId="95" xfId="0" applyFont="1" applyFill="1" applyBorder="1" applyAlignment="1">
      <alignment horizontal="center" vertical="center" wrapText="1"/>
    </xf>
    <xf numFmtId="0" fontId="179" fillId="90" borderId="30" xfId="0" applyFont="1" applyFill="1" applyBorder="1" applyAlignment="1" applyProtection="1">
      <alignment horizontal="right" vertical="center" wrapText="1"/>
      <protection hidden="1"/>
    </xf>
    <xf numFmtId="192" fontId="179" fillId="90" borderId="96" xfId="42" applyNumberFormat="1" applyFont="1" applyFill="1" applyBorder="1" applyAlignment="1" applyProtection="1">
      <alignment vertical="center" wrapText="1"/>
      <protection hidden="1"/>
    </xf>
    <xf numFmtId="0" fontId="179" fillId="90" borderId="97" xfId="0" applyFont="1" applyFill="1" applyBorder="1" applyAlignment="1" applyProtection="1">
      <alignment vertical="center" wrapText="1"/>
      <protection hidden="1"/>
    </xf>
    <xf numFmtId="0" fontId="179" fillId="90" borderId="91" xfId="0" applyFont="1" applyFill="1" applyBorder="1" applyAlignment="1" applyProtection="1">
      <alignment vertical="center" wrapText="1"/>
      <protection hidden="1"/>
    </xf>
    <xf numFmtId="0" fontId="179" fillId="90" borderId="13" xfId="0" applyFont="1" applyFill="1" applyBorder="1" applyAlignment="1" applyProtection="1">
      <alignment horizontal="right" vertical="center" wrapText="1"/>
      <protection hidden="1"/>
    </xf>
    <xf numFmtId="169" fontId="179" fillId="90" borderId="91" xfId="0" applyNumberFormat="1" applyFont="1" applyFill="1" applyBorder="1" applyAlignment="1" applyProtection="1">
      <alignment vertical="center" wrapText="1"/>
      <protection hidden="1"/>
    </xf>
    <xf numFmtId="0" fontId="179" fillId="90" borderId="12" xfId="0" applyFont="1" applyFill="1" applyBorder="1" applyAlignment="1" applyProtection="1">
      <alignment horizontal="justify" vertical="center" wrapText="1"/>
      <protection hidden="1"/>
    </xf>
    <xf numFmtId="0" fontId="179" fillId="90" borderId="13" xfId="0" applyFont="1" applyFill="1" applyBorder="1" applyAlignment="1" applyProtection="1">
      <alignment vertical="center"/>
      <protection hidden="1"/>
    </xf>
    <xf numFmtId="0" fontId="179" fillId="90" borderId="13" xfId="0" applyFont="1" applyFill="1" applyBorder="1" applyAlignment="1" applyProtection="1">
      <alignment vertical="center" wrapText="1"/>
      <protection hidden="1"/>
    </xf>
    <xf numFmtId="0" fontId="179" fillId="90" borderId="61" xfId="0" applyFont="1" applyFill="1" applyBorder="1" applyAlignment="1" applyProtection="1">
      <alignment vertical="center" wrapText="1"/>
      <protection hidden="1"/>
    </xf>
    <xf numFmtId="0" fontId="179" fillId="90" borderId="13" xfId="0" applyFont="1" applyFill="1" applyBorder="1" applyAlignment="1" applyProtection="1">
      <alignment horizontal="left" vertical="center"/>
      <protection hidden="1"/>
    </xf>
    <xf numFmtId="192" fontId="179" fillId="90" borderId="91" xfId="42" applyNumberFormat="1" applyFont="1" applyFill="1" applyBorder="1" applyAlignment="1" applyProtection="1">
      <alignment horizontal="right" vertical="center" wrapText="1"/>
      <protection hidden="1"/>
    </xf>
    <xf numFmtId="0" fontId="180" fillId="90" borderId="12" xfId="0" applyFont="1" applyFill="1" applyBorder="1" applyAlignment="1" applyProtection="1">
      <alignment horizontal="left" vertical="center" wrapText="1"/>
      <protection hidden="1"/>
    </xf>
    <xf numFmtId="0" fontId="179" fillId="90" borderId="90" xfId="0" applyFont="1" applyFill="1" applyBorder="1" applyAlignment="1" applyProtection="1">
      <alignment horizontal="justify" vertical="center" wrapText="1"/>
      <protection hidden="1"/>
    </xf>
    <xf numFmtId="0" fontId="179" fillId="90" borderId="44" xfId="0" applyFont="1" applyFill="1" applyBorder="1" applyAlignment="1" applyProtection="1">
      <alignment horizontal="right" vertical="center" wrapText="1"/>
      <protection hidden="1"/>
    </xf>
    <xf numFmtId="0" fontId="179" fillId="90" borderId="44" xfId="0" applyFont="1" applyFill="1" applyBorder="1" applyAlignment="1" applyProtection="1">
      <alignment vertical="center"/>
      <protection hidden="1"/>
    </xf>
    <xf numFmtId="0" fontId="179" fillId="90" borderId="44" xfId="0" applyFont="1" applyFill="1" applyBorder="1" applyAlignment="1" applyProtection="1">
      <alignment vertical="center" wrapText="1"/>
      <protection hidden="1"/>
    </xf>
    <xf numFmtId="192" fontId="179" fillId="90" borderId="44" xfId="42" applyNumberFormat="1" applyFont="1" applyFill="1" applyBorder="1" applyAlignment="1" applyProtection="1">
      <alignment horizontal="right" vertical="center" wrapText="1"/>
      <protection hidden="1"/>
    </xf>
    <xf numFmtId="0" fontId="5" fillId="90" borderId="44" xfId="0" applyFont="1" applyFill="1" applyBorder="1" applyAlignment="1" applyProtection="1">
      <alignment vertical="center"/>
      <protection hidden="1"/>
    </xf>
    <xf numFmtId="0" fontId="179" fillId="90" borderId="92" xfId="0" applyFont="1" applyFill="1" applyBorder="1" applyAlignment="1" applyProtection="1">
      <alignment horizontal="justify" vertical="center" wrapText="1"/>
      <protection hidden="1"/>
    </xf>
    <xf numFmtId="0" fontId="179" fillId="90" borderId="94" xfId="0" applyFont="1" applyFill="1" applyBorder="1" applyAlignment="1" applyProtection="1">
      <alignment horizontal="right" vertical="center" wrapText="1"/>
      <protection hidden="1"/>
    </xf>
    <xf numFmtId="0" fontId="5" fillId="90" borderId="94" xfId="0" applyFont="1" applyFill="1" applyBorder="1" applyAlignment="1" applyProtection="1">
      <alignment vertical="center"/>
      <protection hidden="1"/>
    </xf>
    <xf numFmtId="0" fontId="179" fillId="90" borderId="94" xfId="0" applyFont="1" applyFill="1" applyBorder="1" applyAlignment="1" applyProtection="1">
      <alignment vertical="center" wrapText="1"/>
      <protection hidden="1"/>
    </xf>
    <xf numFmtId="0" fontId="179" fillId="90" borderId="98" xfId="0" applyFont="1" applyFill="1" applyBorder="1" applyAlignment="1" applyProtection="1">
      <alignment horizontal="left" vertical="center"/>
      <protection locked="0"/>
    </xf>
    <xf numFmtId="0" fontId="179" fillId="90" borderId="72" xfId="0" applyFont="1" applyFill="1" applyBorder="1" applyAlignment="1" applyProtection="1">
      <alignment vertical="center" wrapText="1"/>
      <protection locked="0"/>
    </xf>
    <xf numFmtId="0" fontId="179" fillId="90" borderId="83" xfId="0" applyFont="1" applyFill="1" applyBorder="1" applyAlignment="1" applyProtection="1">
      <alignment horizontal="left" vertical="center"/>
      <protection locked="0"/>
    </xf>
    <xf numFmtId="0" fontId="179" fillId="90" borderId="0" xfId="0" applyFont="1" applyFill="1" applyBorder="1" applyAlignment="1" applyProtection="1">
      <alignment vertical="center" wrapText="1"/>
      <protection locked="0"/>
    </xf>
    <xf numFmtId="0" fontId="179" fillId="90" borderId="99" xfId="0" applyFont="1" applyFill="1" applyBorder="1" applyAlignment="1" applyProtection="1">
      <alignment horizontal="left" vertical="center"/>
      <protection locked="0"/>
    </xf>
    <xf numFmtId="0" fontId="179" fillId="90" borderId="100" xfId="0" applyFont="1" applyFill="1" applyBorder="1" applyAlignment="1" applyProtection="1">
      <alignment vertical="center" wrapText="1"/>
      <protection locked="0"/>
    </xf>
    <xf numFmtId="0" fontId="179" fillId="90" borderId="100" xfId="0" applyFont="1" applyFill="1" applyBorder="1" applyAlignment="1" applyProtection="1">
      <alignment horizontal="right" vertical="center" wrapText="1"/>
      <protection locked="0"/>
    </xf>
    <xf numFmtId="49" fontId="181" fillId="90" borderId="86" xfId="0" applyNumberFormat="1" applyFont="1" applyFill="1" applyBorder="1" applyAlignment="1" quotePrefix="1">
      <alignment horizontal="center" vertical="center" wrapText="1"/>
    </xf>
    <xf numFmtId="49" fontId="181" fillId="90" borderId="20" xfId="0" applyNumberFormat="1" applyFont="1" applyFill="1" applyBorder="1" applyAlignment="1" quotePrefix="1">
      <alignment horizontal="center" vertical="center" wrapText="1"/>
    </xf>
    <xf numFmtId="0" fontId="182" fillId="0" borderId="0" xfId="0" applyFont="1" applyAlignment="1">
      <alignment/>
    </xf>
    <xf numFmtId="0" fontId="171" fillId="0" borderId="0" xfId="0" applyNumberFormat="1" applyFont="1" applyAlignment="1" applyProtection="1">
      <alignment horizontal="left" wrapText="1"/>
      <protection hidden="1"/>
    </xf>
    <xf numFmtId="0" fontId="183" fillId="0" borderId="0" xfId="0" applyNumberFormat="1" applyFont="1" applyAlignment="1" applyProtection="1">
      <alignment horizontal="left" vertical="center"/>
      <protection hidden="1"/>
    </xf>
    <xf numFmtId="0" fontId="173" fillId="0" borderId="101" xfId="0" applyNumberFormat="1" applyFont="1" applyBorder="1" applyAlignment="1" applyProtection="1">
      <alignment horizontal="left" vertical="top"/>
      <protection hidden="1"/>
    </xf>
    <xf numFmtId="0" fontId="168" fillId="0" borderId="80" xfId="0" applyNumberFormat="1" applyFont="1" applyBorder="1" applyAlignment="1" applyProtection="1">
      <alignment horizontal="left"/>
      <protection hidden="1"/>
    </xf>
    <xf numFmtId="0" fontId="168" fillId="0" borderId="102" xfId="0" applyNumberFormat="1" applyFont="1" applyBorder="1" applyAlignment="1" applyProtection="1">
      <alignment horizontal="left"/>
      <protection hidden="1"/>
    </xf>
    <xf numFmtId="0" fontId="0" fillId="0" borderId="0" xfId="0" applyNumberFormat="1" applyAlignment="1" applyProtection="1">
      <alignment horizontal="left" vertical="top" wrapText="1"/>
      <protection hidden="1"/>
    </xf>
    <xf numFmtId="0" fontId="171" fillId="0" borderId="0" xfId="0" applyNumberFormat="1" applyFont="1" applyAlignment="1" applyProtection="1">
      <alignment horizontal="left" vertical="top" wrapText="1"/>
      <protection hidden="1"/>
    </xf>
    <xf numFmtId="0" fontId="184" fillId="91" borderId="103" xfId="0" applyNumberFormat="1" applyFont="1" applyFill="1" applyBorder="1" applyAlignment="1" applyProtection="1">
      <alignment horizontal="center"/>
      <protection hidden="1"/>
    </xf>
    <xf numFmtId="0" fontId="184" fillId="91" borderId="104" xfId="0" applyNumberFormat="1" applyFont="1" applyFill="1" applyBorder="1" applyAlignment="1" applyProtection="1">
      <alignment horizontal="center"/>
      <protection hidden="1"/>
    </xf>
    <xf numFmtId="0" fontId="185" fillId="5" borderId="0" xfId="0" applyNumberFormat="1" applyFont="1" applyFill="1" applyAlignment="1" applyProtection="1">
      <alignment horizontal="center" vertical="center"/>
      <protection hidden="1"/>
    </xf>
    <xf numFmtId="0" fontId="0" fillId="4" borderId="0" xfId="0" applyNumberFormat="1" applyFill="1" applyAlignment="1" applyProtection="1">
      <alignment horizontal="left" vertical="top" wrapText="1"/>
      <protection hidden="1"/>
    </xf>
    <xf numFmtId="0" fontId="184" fillId="91" borderId="105" xfId="0" applyNumberFormat="1" applyFont="1" applyFill="1" applyBorder="1" applyAlignment="1" applyProtection="1">
      <alignment horizontal="center"/>
      <protection hidden="1"/>
    </xf>
    <xf numFmtId="0" fontId="171" fillId="0" borderId="0" xfId="0" applyNumberFormat="1" applyFont="1" applyAlignment="1" applyProtection="1">
      <alignment horizontal="left" vertical="center" wrapText="1"/>
      <protection hidden="1"/>
    </xf>
    <xf numFmtId="0" fontId="171" fillId="0" borderId="0" xfId="0" applyNumberFormat="1" applyFont="1" applyAlignment="1" applyProtection="1">
      <alignment horizontal="left" vertical="center"/>
      <protection hidden="1"/>
    </xf>
    <xf numFmtId="0" fontId="186" fillId="4" borderId="0" xfId="0" applyNumberFormat="1" applyFont="1" applyFill="1" applyAlignment="1" applyProtection="1">
      <alignment horizontal="center"/>
      <protection hidden="1"/>
    </xf>
    <xf numFmtId="0" fontId="172" fillId="52" borderId="0" xfId="0" applyNumberFormat="1" applyFont="1" applyFill="1" applyAlignment="1" applyProtection="1">
      <alignment horizontal="left" vertical="top" wrapText="1"/>
      <protection hidden="1"/>
    </xf>
    <xf numFmtId="0" fontId="171" fillId="0" borderId="0" xfId="0" applyNumberFormat="1" applyFont="1" applyAlignment="1" applyProtection="1">
      <alignment horizontal="left" vertical="top"/>
      <protection hidden="1"/>
    </xf>
    <xf numFmtId="0" fontId="168" fillId="0" borderId="82" xfId="0" applyNumberFormat="1" applyFont="1" applyBorder="1" applyAlignment="1" applyProtection="1">
      <alignment horizontal="left"/>
      <protection hidden="1"/>
    </xf>
    <xf numFmtId="0" fontId="168" fillId="0" borderId="106" xfId="0" applyNumberFormat="1" applyFont="1" applyBorder="1" applyAlignment="1" applyProtection="1">
      <alignment horizontal="left"/>
      <protection hidden="1"/>
    </xf>
    <xf numFmtId="0" fontId="171" fillId="4" borderId="0" xfId="0" applyNumberFormat="1" applyFont="1" applyFill="1" applyAlignment="1" applyProtection="1">
      <alignment horizontal="left" vertical="top" wrapText="1"/>
      <protection hidden="1"/>
    </xf>
    <xf numFmtId="0" fontId="187" fillId="4" borderId="0" xfId="0" applyNumberFormat="1" applyFont="1" applyFill="1" applyAlignment="1" applyProtection="1">
      <alignment horizontal="left" wrapText="1"/>
      <protection hidden="1"/>
    </xf>
    <xf numFmtId="0" fontId="188" fillId="7" borderId="10" xfId="0" applyFont="1" applyFill="1" applyBorder="1" applyAlignment="1" applyProtection="1">
      <alignment horizontal="center"/>
      <protection hidden="1" locked="0"/>
    </xf>
    <xf numFmtId="0" fontId="188" fillId="7" borderId="0" xfId="0" applyFont="1" applyFill="1" applyAlignment="1" applyProtection="1">
      <alignment horizontal="center"/>
      <protection hidden="1" locked="0"/>
    </xf>
    <xf numFmtId="0" fontId="0" fillId="92" borderId="10" xfId="0" applyFill="1" applyBorder="1" applyAlignment="1" applyProtection="1">
      <alignment horizontal="center" wrapText="1"/>
      <protection hidden="1" locked="0"/>
    </xf>
    <xf numFmtId="0" fontId="0" fillId="93" borderId="0" xfId="0" applyFill="1" applyBorder="1" applyAlignment="1" applyProtection="1">
      <alignment horizontal="center" wrapText="1"/>
      <protection hidden="1" locked="0"/>
    </xf>
    <xf numFmtId="0" fontId="0" fillId="0" borderId="0" xfId="0" applyAlignment="1" applyProtection="1">
      <alignment horizontal="center"/>
      <protection hidden="1" locked="0"/>
    </xf>
    <xf numFmtId="0" fontId="0" fillId="0" borderId="0" xfId="0" applyAlignment="1" applyProtection="1">
      <alignment horizontal="left"/>
      <protection hidden="1" locked="0"/>
    </xf>
    <xf numFmtId="0" fontId="161" fillId="94" borderId="23" xfId="0" applyFont="1" applyFill="1" applyBorder="1" applyAlignment="1" applyProtection="1">
      <alignment horizontal="left" vertical="center" wrapText="1"/>
      <protection hidden="1"/>
    </xf>
    <xf numFmtId="0" fontId="161" fillId="95" borderId="22" xfId="0" applyFont="1" applyFill="1" applyBorder="1" applyAlignment="1" applyProtection="1">
      <alignment horizontal="left" vertical="center" wrapText="1"/>
      <protection hidden="1"/>
    </xf>
    <xf numFmtId="0" fontId="161" fillId="96" borderId="19" xfId="0" applyFont="1" applyFill="1" applyBorder="1" applyAlignment="1" applyProtection="1">
      <alignment horizontal="left" vertical="center" wrapText="1"/>
      <protection hidden="1"/>
    </xf>
    <xf numFmtId="0" fontId="162" fillId="97" borderId="22" xfId="0" applyFont="1" applyFill="1" applyBorder="1" applyAlignment="1" applyProtection="1">
      <alignment horizontal="left" vertical="center" wrapText="1"/>
      <protection hidden="1"/>
    </xf>
    <xf numFmtId="0" fontId="162" fillId="98" borderId="19" xfId="0" applyFont="1" applyFill="1" applyBorder="1" applyAlignment="1" applyProtection="1">
      <alignment horizontal="left" vertical="center" wrapText="1"/>
      <protection hidden="1"/>
    </xf>
    <xf numFmtId="0" fontId="162" fillId="99" borderId="18" xfId="0" applyFont="1" applyFill="1" applyBorder="1" applyAlignment="1" applyProtection="1">
      <alignment horizontal="center" vertical="center" wrapText="1"/>
      <protection hidden="1" locked="0"/>
    </xf>
    <xf numFmtId="0" fontId="162" fillId="99" borderId="19" xfId="0" applyFont="1" applyFill="1" applyBorder="1" applyAlignment="1" applyProtection="1">
      <alignment horizontal="center" vertical="center" wrapText="1"/>
      <protection hidden="1" locked="0"/>
    </xf>
    <xf numFmtId="0" fontId="189" fillId="100" borderId="107" xfId="0" applyFont="1" applyFill="1" applyBorder="1" applyAlignment="1" applyProtection="1">
      <alignment horizontal="left"/>
      <protection hidden="1" locked="0"/>
    </xf>
    <xf numFmtId="0" fontId="189" fillId="100" borderId="108" xfId="0" applyFont="1" applyFill="1" applyBorder="1" applyAlignment="1" applyProtection="1">
      <alignment horizontal="left"/>
      <protection hidden="1" locked="0"/>
    </xf>
    <xf numFmtId="0" fontId="153" fillId="101" borderId="20" xfId="0" applyFont="1" applyFill="1" applyBorder="1" applyAlignment="1" applyProtection="1">
      <alignment horizontal="center" vertical="center"/>
      <protection hidden="1" locked="0"/>
    </xf>
    <xf numFmtId="0" fontId="153" fillId="32" borderId="20" xfId="0" applyFont="1" applyFill="1" applyBorder="1" applyAlignment="1" applyProtection="1">
      <alignment horizontal="center" vertical="center"/>
      <protection hidden="1" locked="0"/>
    </xf>
    <xf numFmtId="0" fontId="190" fillId="102" borderId="86" xfId="0" applyFont="1" applyFill="1" applyBorder="1" applyAlignment="1" applyProtection="1">
      <alignment horizontal="center" vertical="center" wrapText="1"/>
      <protection hidden="1"/>
    </xf>
    <xf numFmtId="0" fontId="190" fillId="102" borderId="20" xfId="0" applyFont="1" applyFill="1" applyBorder="1" applyAlignment="1" applyProtection="1">
      <alignment horizontal="center" vertical="center" wrapText="1"/>
      <protection hidden="1"/>
    </xf>
    <xf numFmtId="0" fontId="10" fillId="103" borderId="109" xfId="0" applyFont="1" applyFill="1" applyBorder="1" applyAlignment="1" applyProtection="1">
      <alignment horizontal="left" vertical="center" wrapText="1"/>
      <protection hidden="1" locked="0"/>
    </xf>
    <xf numFmtId="0" fontId="10" fillId="103" borderId="110" xfId="0" applyFont="1" applyFill="1" applyBorder="1" applyAlignment="1" applyProtection="1">
      <alignment horizontal="left" vertical="center" wrapText="1"/>
      <protection hidden="1" locked="0"/>
    </xf>
    <xf numFmtId="0" fontId="10" fillId="103" borderId="111" xfId="0" applyFont="1" applyFill="1" applyBorder="1" applyAlignment="1" applyProtection="1">
      <alignment horizontal="left" vertical="center" wrapText="1"/>
      <protection hidden="1" locked="0"/>
    </xf>
    <xf numFmtId="0" fontId="0" fillId="36" borderId="0" xfId="0" applyFill="1" applyAlignment="1" applyProtection="1">
      <alignment horizontal="center"/>
      <protection hidden="1"/>
    </xf>
    <xf numFmtId="0" fontId="161" fillId="32" borderId="20" xfId="0" applyFont="1" applyFill="1" applyBorder="1" applyAlignment="1" applyProtection="1">
      <alignment horizontal="center" vertical="center"/>
      <protection hidden="1" locked="0"/>
    </xf>
    <xf numFmtId="0" fontId="191" fillId="7" borderId="0" xfId="0" applyFont="1" applyFill="1" applyAlignment="1" applyProtection="1">
      <alignment horizontal="left"/>
      <protection hidden="1"/>
    </xf>
    <xf numFmtId="0" fontId="162" fillId="104" borderId="20" xfId="0" applyFont="1" applyFill="1" applyBorder="1" applyAlignment="1" applyProtection="1">
      <alignment horizontal="center" vertical="center" wrapText="1"/>
      <protection hidden="1"/>
    </xf>
    <xf numFmtId="0" fontId="147" fillId="38" borderId="16" xfId="53" applyFill="1" applyBorder="1" applyAlignment="1" applyProtection="1">
      <alignment horizontal="center" textRotation="90"/>
      <protection hidden="1" locked="0"/>
    </xf>
    <xf numFmtId="0" fontId="0" fillId="38" borderId="16" xfId="0" applyFill="1" applyBorder="1" applyAlignment="1" applyProtection="1">
      <alignment horizontal="center" textRotation="90"/>
      <protection hidden="1" locked="0"/>
    </xf>
    <xf numFmtId="0" fontId="163" fillId="105" borderId="20" xfId="0" applyFont="1" applyFill="1" applyBorder="1" applyAlignment="1" applyProtection="1">
      <alignment horizontal="left" vertical="center" wrapText="1"/>
      <protection hidden="1"/>
    </xf>
    <xf numFmtId="0" fontId="8" fillId="103" borderId="109" xfId="0" applyFont="1" applyFill="1" applyBorder="1" applyAlignment="1" applyProtection="1">
      <alignment horizontal="left" vertical="center"/>
      <protection hidden="1" locked="0"/>
    </xf>
    <xf numFmtId="0" fontId="8" fillId="103" borderId="110" xfId="0" applyFont="1" applyFill="1" applyBorder="1" applyAlignment="1" applyProtection="1">
      <alignment horizontal="left" vertical="center"/>
      <protection hidden="1" locked="0"/>
    </xf>
    <xf numFmtId="0" fontId="8" fillId="103" borderId="111" xfId="0" applyFont="1" applyFill="1" applyBorder="1" applyAlignment="1" applyProtection="1">
      <alignment horizontal="left" vertical="center"/>
      <protection hidden="1" locked="0"/>
    </xf>
    <xf numFmtId="0" fontId="153" fillId="106" borderId="86" xfId="0" applyFont="1" applyFill="1" applyBorder="1" applyAlignment="1" applyProtection="1">
      <alignment horizontal="left" vertical="center"/>
      <protection hidden="1"/>
    </xf>
    <xf numFmtId="0" fontId="153" fillId="107" borderId="20" xfId="0" applyFont="1" applyFill="1" applyBorder="1" applyAlignment="1" applyProtection="1">
      <alignment horizontal="left" vertical="center"/>
      <protection hidden="1"/>
    </xf>
    <xf numFmtId="0" fontId="2" fillId="32" borderId="20" xfId="0" applyFont="1" applyFill="1" applyBorder="1" applyAlignment="1" applyProtection="1">
      <alignment horizontal="center" vertical="center" wrapText="1"/>
      <protection hidden="1" locked="0"/>
    </xf>
    <xf numFmtId="0" fontId="162" fillId="108" borderId="68" xfId="0" applyFont="1" applyFill="1" applyBorder="1" applyAlignment="1" applyProtection="1">
      <alignment horizontal="left" vertical="center" wrapText="1"/>
      <protection hidden="1"/>
    </xf>
    <xf numFmtId="0" fontId="162" fillId="109" borderId="20" xfId="0" applyFont="1" applyFill="1" applyBorder="1" applyAlignment="1" applyProtection="1">
      <alignment horizontal="left" vertical="center" wrapText="1"/>
      <protection hidden="1"/>
    </xf>
    <xf numFmtId="0" fontId="2" fillId="32" borderId="20" xfId="0" applyFont="1" applyFill="1" applyBorder="1" applyAlignment="1" applyProtection="1">
      <alignment horizontal="center" vertical="center"/>
      <protection hidden="1" locked="0"/>
    </xf>
    <xf numFmtId="0" fontId="0" fillId="53" borderId="0" xfId="0" applyFill="1" applyAlignment="1" applyProtection="1">
      <alignment horizontal="center"/>
      <protection hidden="1" locked="0"/>
    </xf>
    <xf numFmtId="0" fontId="161" fillId="32" borderId="67" xfId="0" applyFont="1" applyFill="1" applyBorder="1" applyAlignment="1" applyProtection="1">
      <alignment horizontal="center" vertical="center"/>
      <protection hidden="1" locked="0"/>
    </xf>
    <xf numFmtId="0" fontId="0" fillId="0" borderId="18" xfId="0" applyBorder="1" applyAlignment="1" applyProtection="1">
      <alignment horizontal="center"/>
      <protection hidden="1" locked="0"/>
    </xf>
    <xf numFmtId="0" fontId="0" fillId="0" borderId="22" xfId="0" applyBorder="1" applyAlignment="1" applyProtection="1">
      <alignment horizontal="center"/>
      <protection hidden="1" locked="0"/>
    </xf>
    <xf numFmtId="0" fontId="0" fillId="8" borderId="0" xfId="0" applyFill="1" applyAlignment="1" applyProtection="1">
      <alignment horizontal="center"/>
      <protection hidden="1" locked="0"/>
    </xf>
    <xf numFmtId="0" fontId="0" fillId="37" borderId="0" xfId="0" applyFill="1" applyAlignment="1" applyProtection="1">
      <alignment horizontal="center"/>
      <protection hidden="1" locked="0"/>
    </xf>
    <xf numFmtId="0" fontId="161" fillId="32" borderId="20" xfId="0" applyFont="1" applyFill="1" applyBorder="1" applyAlignment="1" applyProtection="1">
      <alignment horizontal="left" vertical="center"/>
      <protection hidden="1" locked="0"/>
    </xf>
    <xf numFmtId="0" fontId="192" fillId="8" borderId="112" xfId="0" applyFont="1" applyFill="1" applyBorder="1" applyAlignment="1" applyProtection="1">
      <alignment horizontal="left"/>
      <protection hidden="1"/>
    </xf>
    <xf numFmtId="0" fontId="192" fillId="8" borderId="107" xfId="0" applyFont="1" applyFill="1" applyBorder="1" applyAlignment="1" applyProtection="1">
      <alignment horizontal="left"/>
      <protection hidden="1"/>
    </xf>
    <xf numFmtId="3" fontId="153" fillId="32" borderId="20" xfId="0" applyNumberFormat="1" applyFont="1" applyFill="1" applyBorder="1" applyAlignment="1" applyProtection="1">
      <alignment horizontal="center" vertical="center"/>
      <protection hidden="1" locked="0"/>
    </xf>
    <xf numFmtId="0" fontId="163" fillId="110" borderId="20" xfId="0" applyFont="1" applyFill="1" applyBorder="1" applyAlignment="1" applyProtection="1">
      <alignment horizontal="center" vertical="center"/>
      <protection hidden="1"/>
    </xf>
    <xf numFmtId="0" fontId="163" fillId="111" borderId="67" xfId="0" applyFont="1" applyFill="1" applyBorder="1" applyAlignment="1" applyProtection="1">
      <alignment horizontal="center" vertical="center"/>
      <protection hidden="1"/>
    </xf>
    <xf numFmtId="0" fontId="161" fillId="112" borderId="68" xfId="0" applyFont="1" applyFill="1" applyBorder="1" applyAlignment="1" applyProtection="1">
      <alignment horizontal="left" vertical="center" wrapText="1"/>
      <protection hidden="1"/>
    </xf>
    <xf numFmtId="0" fontId="161" fillId="113" borderId="20" xfId="0" applyFont="1" applyFill="1" applyBorder="1" applyAlignment="1" applyProtection="1">
      <alignment horizontal="left" vertical="center" wrapText="1"/>
      <protection hidden="1"/>
    </xf>
    <xf numFmtId="0" fontId="161" fillId="114" borderId="18" xfId="0" applyFont="1" applyFill="1" applyBorder="1" applyAlignment="1" applyProtection="1">
      <alignment horizontal="center" vertical="center" wrapText="1"/>
      <protection hidden="1" locked="0"/>
    </xf>
    <xf numFmtId="0" fontId="161" fillId="115" borderId="19" xfId="0" applyFont="1" applyFill="1" applyBorder="1" applyAlignment="1" applyProtection="1">
      <alignment horizontal="center" vertical="center" wrapText="1"/>
      <protection hidden="1" locked="0"/>
    </xf>
    <xf numFmtId="0" fontId="153" fillId="116" borderId="20" xfId="0" applyFont="1" applyFill="1" applyBorder="1" applyAlignment="1" applyProtection="1">
      <alignment horizontal="left" vertical="center" wrapText="1"/>
      <protection hidden="1"/>
    </xf>
    <xf numFmtId="0" fontId="162" fillId="117" borderId="68" xfId="0" applyFont="1" applyFill="1" applyBorder="1" applyAlignment="1" applyProtection="1">
      <alignment horizontal="center" vertical="center" wrapText="1"/>
      <protection hidden="1"/>
    </xf>
    <xf numFmtId="0" fontId="161" fillId="118" borderId="10" xfId="0" applyFont="1" applyFill="1" applyBorder="1" applyAlignment="1" applyProtection="1">
      <alignment horizontal="center" vertical="center" wrapText="1"/>
      <protection hidden="1"/>
    </xf>
    <xf numFmtId="0" fontId="161" fillId="119" borderId="0" xfId="0" applyFont="1" applyFill="1" applyBorder="1" applyAlignment="1" applyProtection="1">
      <alignment horizontal="center" vertical="center" wrapText="1"/>
      <protection hidden="1"/>
    </xf>
    <xf numFmtId="0" fontId="0" fillId="38" borderId="0" xfId="0" applyFill="1" applyAlignment="1" applyProtection="1">
      <alignment horizontal="center" textRotation="180"/>
      <protection hidden="1" locked="0"/>
    </xf>
    <xf numFmtId="0" fontId="153" fillId="120" borderId="20" xfId="0" applyFont="1" applyFill="1" applyBorder="1" applyAlignment="1" applyProtection="1">
      <alignment horizontal="center" vertical="center" wrapText="1"/>
      <protection hidden="1" locked="0"/>
    </xf>
    <xf numFmtId="0" fontId="193" fillId="121" borderId="10" xfId="0" applyFont="1" applyFill="1" applyBorder="1" applyAlignment="1" applyProtection="1">
      <alignment horizontal="center"/>
      <protection hidden="1" locked="0"/>
    </xf>
    <xf numFmtId="0" fontId="193" fillId="122" borderId="0" xfId="0" applyFont="1" applyFill="1" applyBorder="1" applyAlignment="1" applyProtection="1">
      <alignment horizontal="center"/>
      <protection hidden="1" locked="0"/>
    </xf>
    <xf numFmtId="0" fontId="193" fillId="123" borderId="16" xfId="0" applyFont="1" applyFill="1" applyBorder="1" applyAlignment="1" applyProtection="1">
      <alignment horizontal="center"/>
      <protection hidden="1" locked="0"/>
    </xf>
    <xf numFmtId="0" fontId="153" fillId="32" borderId="67" xfId="0" applyFont="1" applyFill="1" applyBorder="1" applyAlignment="1" applyProtection="1">
      <alignment horizontal="center" vertical="center"/>
      <protection hidden="1" locked="0"/>
    </xf>
    <xf numFmtId="0" fontId="194" fillId="124" borderId="10" xfId="0" applyFont="1" applyFill="1" applyBorder="1" applyAlignment="1" applyProtection="1">
      <alignment horizontal="center" wrapText="1"/>
      <protection hidden="1"/>
    </xf>
    <xf numFmtId="0" fontId="194" fillId="125" borderId="0" xfId="0" applyFont="1" applyFill="1" applyBorder="1" applyAlignment="1" applyProtection="1">
      <alignment horizontal="center" wrapText="1"/>
      <protection hidden="1"/>
    </xf>
    <xf numFmtId="0" fontId="147" fillId="38" borderId="10" xfId="53" applyFill="1" applyBorder="1" applyAlignment="1" applyProtection="1">
      <alignment horizontal="center" textRotation="180"/>
      <protection hidden="1" locked="0"/>
    </xf>
    <xf numFmtId="0" fontId="0" fillId="38" borderId="10" xfId="0" applyFill="1" applyBorder="1" applyAlignment="1" applyProtection="1">
      <alignment horizontal="center" textRotation="180"/>
      <protection hidden="1" locked="0"/>
    </xf>
    <xf numFmtId="0" fontId="174" fillId="126" borderId="20" xfId="0" applyFont="1" applyFill="1" applyBorder="1" applyAlignment="1" applyProtection="1">
      <alignment horizontal="center" vertical="center" wrapText="1"/>
      <protection hidden="1"/>
    </xf>
    <xf numFmtId="0" fontId="195" fillId="127" borderId="10" xfId="0" applyFont="1" applyFill="1" applyBorder="1" applyAlignment="1" applyProtection="1">
      <alignment horizontal="center" vertical="center"/>
      <protection hidden="1"/>
    </xf>
    <xf numFmtId="0" fontId="195" fillId="128" borderId="0" xfId="0" applyFont="1" applyFill="1" applyBorder="1" applyAlignment="1" applyProtection="1">
      <alignment horizontal="center" vertical="center"/>
      <protection hidden="1"/>
    </xf>
    <xf numFmtId="0" fontId="162" fillId="129" borderId="18" xfId="0" applyFont="1" applyFill="1" applyBorder="1" applyAlignment="1" applyProtection="1">
      <alignment horizontal="left" vertical="center"/>
      <protection hidden="1"/>
    </xf>
    <xf numFmtId="0" fontId="162" fillId="130" borderId="22" xfId="0" applyFont="1" applyFill="1" applyBorder="1" applyAlignment="1" applyProtection="1">
      <alignment horizontal="left" vertical="center"/>
      <protection hidden="1"/>
    </xf>
    <xf numFmtId="0" fontId="162" fillId="131" borderId="24" xfId="0" applyFont="1" applyFill="1" applyBorder="1" applyAlignment="1" applyProtection="1">
      <alignment horizontal="left" vertical="center"/>
      <protection hidden="1"/>
    </xf>
    <xf numFmtId="0" fontId="147" fillId="38" borderId="0" xfId="53" applyFill="1" applyAlignment="1" applyProtection="1">
      <alignment horizontal="center" textRotation="180"/>
      <protection hidden="1" locked="0"/>
    </xf>
    <xf numFmtId="0" fontId="153" fillId="132" borderId="113" xfId="0" applyFont="1" applyFill="1" applyBorder="1" applyAlignment="1" applyProtection="1">
      <alignment horizontal="left" vertical="center"/>
      <protection hidden="1" locked="0"/>
    </xf>
    <xf numFmtId="0" fontId="153" fillId="133" borderId="114" xfId="0" applyFont="1" applyFill="1" applyBorder="1" applyAlignment="1" applyProtection="1">
      <alignment horizontal="left" vertical="center"/>
      <protection hidden="1" locked="0"/>
    </xf>
    <xf numFmtId="0" fontId="161" fillId="134" borderId="20" xfId="0" applyFont="1" applyFill="1" applyBorder="1" applyAlignment="1" applyProtection="1">
      <alignment horizontal="right" vertical="center" wrapText="1"/>
      <protection hidden="1"/>
    </xf>
    <xf numFmtId="0" fontId="161" fillId="135" borderId="18" xfId="0" applyFont="1" applyFill="1" applyBorder="1" applyAlignment="1" applyProtection="1">
      <alignment horizontal="center" vertical="center" wrapText="1"/>
      <protection hidden="1"/>
    </xf>
    <xf numFmtId="0" fontId="161" fillId="136" borderId="22" xfId="0" applyFont="1" applyFill="1" applyBorder="1" applyAlignment="1" applyProtection="1">
      <alignment horizontal="center" vertical="center" wrapText="1"/>
      <protection hidden="1"/>
    </xf>
    <xf numFmtId="0" fontId="161" fillId="137" borderId="19" xfId="0" applyFont="1" applyFill="1" applyBorder="1" applyAlignment="1" applyProtection="1">
      <alignment horizontal="center" vertical="center" wrapText="1"/>
      <protection hidden="1"/>
    </xf>
    <xf numFmtId="2" fontId="196" fillId="138" borderId="0" xfId="0" applyNumberFormat="1" applyFont="1" applyFill="1" applyBorder="1" applyAlignment="1" applyProtection="1">
      <alignment horizontal="left" vertical="center"/>
      <protection hidden="1"/>
    </xf>
    <xf numFmtId="0" fontId="197" fillId="139" borderId="56" xfId="0" applyFont="1" applyFill="1" applyBorder="1" applyAlignment="1" applyProtection="1">
      <alignment horizontal="left" vertical="center"/>
      <protection hidden="1" locked="0"/>
    </xf>
    <xf numFmtId="0" fontId="197" fillId="140" borderId="15" xfId="0" applyFont="1" applyFill="1" applyBorder="1" applyAlignment="1" applyProtection="1">
      <alignment horizontal="left" vertical="center"/>
      <protection hidden="1" locked="0"/>
    </xf>
    <xf numFmtId="0" fontId="153" fillId="141" borderId="20" xfId="0" applyFont="1" applyFill="1" applyBorder="1" applyAlignment="1" applyProtection="1">
      <alignment horizontal="center" vertical="center"/>
      <protection hidden="1" locked="0"/>
    </xf>
    <xf numFmtId="0" fontId="153" fillId="142" borderId="67" xfId="0" applyFont="1" applyFill="1" applyBorder="1" applyAlignment="1" applyProtection="1">
      <alignment horizontal="center" vertical="center"/>
      <protection hidden="1" locked="0"/>
    </xf>
    <xf numFmtId="0" fontId="161" fillId="143" borderId="20" xfId="0" applyFont="1" applyFill="1" applyBorder="1" applyAlignment="1" applyProtection="1">
      <alignment horizontal="center" vertical="center" wrapText="1"/>
      <protection hidden="1"/>
    </xf>
    <xf numFmtId="0" fontId="161" fillId="144" borderId="20" xfId="0" applyFont="1" applyFill="1" applyBorder="1" applyAlignment="1" applyProtection="1">
      <alignment horizontal="center" vertical="center"/>
      <protection hidden="1" locked="0"/>
    </xf>
    <xf numFmtId="0" fontId="174" fillId="145" borderId="68" xfId="0" applyFont="1" applyFill="1" applyBorder="1" applyAlignment="1" applyProtection="1">
      <alignment horizontal="left" vertical="center" wrapText="1"/>
      <protection hidden="1"/>
    </xf>
    <xf numFmtId="0" fontId="174" fillId="146" borderId="20" xfId="0" applyFont="1" applyFill="1" applyBorder="1" applyAlignment="1" applyProtection="1">
      <alignment horizontal="left" vertical="center" wrapText="1"/>
      <protection hidden="1"/>
    </xf>
    <xf numFmtId="0" fontId="163" fillId="147" borderId="18" xfId="0" applyFont="1" applyFill="1" applyBorder="1" applyAlignment="1" applyProtection="1">
      <alignment horizontal="left" vertical="center" wrapText="1"/>
      <protection hidden="1"/>
    </xf>
    <xf numFmtId="0" fontId="163" fillId="148" borderId="22" xfId="0" applyFont="1" applyFill="1" applyBorder="1" applyAlignment="1" applyProtection="1">
      <alignment horizontal="left" vertical="center" wrapText="1"/>
      <protection hidden="1"/>
    </xf>
    <xf numFmtId="0" fontId="163" fillId="149" borderId="19" xfId="0" applyFont="1" applyFill="1" applyBorder="1" applyAlignment="1" applyProtection="1">
      <alignment horizontal="left" vertical="center" wrapText="1"/>
      <protection hidden="1"/>
    </xf>
    <xf numFmtId="0" fontId="162" fillId="150" borderId="20" xfId="0" applyFont="1" applyFill="1" applyBorder="1" applyAlignment="1" applyProtection="1">
      <alignment horizontal="center" vertical="center"/>
      <protection hidden="1"/>
    </xf>
    <xf numFmtId="0" fontId="161" fillId="151" borderId="20" xfId="0" applyFont="1" applyFill="1" applyBorder="1" applyAlignment="1" applyProtection="1">
      <alignment vertical="center" wrapText="1"/>
      <protection hidden="1"/>
    </xf>
    <xf numFmtId="0" fontId="161" fillId="152" borderId="20" xfId="0" applyFont="1" applyFill="1" applyBorder="1" applyAlignment="1" applyProtection="1">
      <alignment horizontal="left" vertical="center" wrapText="1"/>
      <protection hidden="1" locked="0"/>
    </xf>
    <xf numFmtId="0" fontId="198" fillId="153" borderId="53" xfId="0" applyFont="1" applyFill="1" applyBorder="1" applyAlignment="1" applyProtection="1">
      <alignment horizontal="center" vertical="center" wrapText="1"/>
      <protection hidden="1" locked="0"/>
    </xf>
    <xf numFmtId="0" fontId="198" fillId="153" borderId="72" xfId="0" applyFont="1" applyFill="1" applyBorder="1" applyAlignment="1" applyProtection="1">
      <alignment horizontal="center" vertical="center" wrapText="1"/>
      <protection hidden="1" locked="0"/>
    </xf>
    <xf numFmtId="0" fontId="198" fillId="153" borderId="54" xfId="0" applyFont="1" applyFill="1" applyBorder="1" applyAlignment="1" applyProtection="1">
      <alignment horizontal="center" vertical="center" wrapText="1"/>
      <protection hidden="1" locked="0"/>
    </xf>
    <xf numFmtId="0" fontId="198" fillId="153" borderId="11" xfId="0" applyFont="1" applyFill="1" applyBorder="1" applyAlignment="1" applyProtection="1">
      <alignment horizontal="center" vertical="center" wrapText="1"/>
      <protection hidden="1" locked="0"/>
    </xf>
    <xf numFmtId="0" fontId="198" fillId="153" borderId="0" xfId="0" applyFont="1" applyFill="1" applyBorder="1" applyAlignment="1" applyProtection="1">
      <alignment horizontal="center" vertical="center" wrapText="1"/>
      <protection hidden="1" locked="0"/>
    </xf>
    <xf numFmtId="0" fontId="198" fillId="153" borderId="29" xfId="0" applyFont="1" applyFill="1" applyBorder="1" applyAlignment="1" applyProtection="1">
      <alignment horizontal="center" vertical="center" wrapText="1"/>
      <protection hidden="1" locked="0"/>
    </xf>
    <xf numFmtId="0" fontId="198" fillId="153" borderId="15" xfId="0" applyFont="1" applyFill="1" applyBorder="1" applyAlignment="1" applyProtection="1">
      <alignment horizontal="center" vertical="center" wrapText="1"/>
      <protection hidden="1" locked="0"/>
    </xf>
    <xf numFmtId="0" fontId="198" fillId="153" borderId="14" xfId="0" applyFont="1" applyFill="1" applyBorder="1" applyAlignment="1" applyProtection="1">
      <alignment horizontal="center" vertical="center" wrapText="1"/>
      <protection hidden="1" locked="0"/>
    </xf>
    <xf numFmtId="0" fontId="198" fillId="153" borderId="55" xfId="0" applyFont="1" applyFill="1" applyBorder="1" applyAlignment="1" applyProtection="1">
      <alignment horizontal="center" vertical="center" wrapText="1"/>
      <protection hidden="1" locked="0"/>
    </xf>
    <xf numFmtId="0" fontId="199" fillId="0" borderId="36" xfId="0" applyFont="1" applyBorder="1" applyAlignment="1" applyProtection="1">
      <alignment horizontal="center" vertical="center"/>
      <protection hidden="1" locked="0"/>
    </xf>
    <xf numFmtId="0" fontId="161" fillId="154" borderId="115" xfId="0" applyFont="1" applyFill="1" applyBorder="1" applyAlignment="1" applyProtection="1">
      <alignment horizontal="left" vertical="center" wrapText="1"/>
      <protection hidden="1"/>
    </xf>
    <xf numFmtId="0" fontId="161" fillId="155" borderId="113" xfId="0" applyFont="1" applyFill="1" applyBorder="1" applyAlignment="1" applyProtection="1">
      <alignment horizontal="left" vertical="center" wrapText="1"/>
      <protection hidden="1"/>
    </xf>
    <xf numFmtId="0" fontId="170" fillId="156" borderId="113" xfId="0" applyFont="1" applyFill="1" applyBorder="1" applyAlignment="1" applyProtection="1">
      <alignment horizontal="left" vertical="center"/>
      <protection hidden="1" locked="0"/>
    </xf>
    <xf numFmtId="0" fontId="153" fillId="157" borderId="116" xfId="0" applyFont="1" applyFill="1" applyBorder="1" applyAlignment="1" applyProtection="1">
      <alignment horizontal="center" vertical="center"/>
      <protection hidden="1" locked="0"/>
    </xf>
    <xf numFmtId="0" fontId="153" fillId="158" borderId="117" xfId="0" applyFont="1" applyFill="1" applyBorder="1" applyAlignment="1" applyProtection="1">
      <alignment horizontal="center" vertical="center"/>
      <protection hidden="1" locked="0"/>
    </xf>
    <xf numFmtId="0" fontId="153" fillId="159" borderId="118" xfId="0" applyFont="1" applyFill="1" applyBorder="1" applyAlignment="1" applyProtection="1">
      <alignment horizontal="center" vertical="center"/>
      <protection hidden="1" locked="0"/>
    </xf>
    <xf numFmtId="0" fontId="161" fillId="160" borderId="67" xfId="0" applyFont="1" applyFill="1" applyBorder="1" applyAlignment="1" applyProtection="1">
      <alignment horizontal="center" vertical="center"/>
      <protection hidden="1" locked="0"/>
    </xf>
    <xf numFmtId="0" fontId="3" fillId="0" borderId="0" xfId="0" applyFont="1" applyAlignment="1" applyProtection="1">
      <alignment horizontal="center" vertical="center"/>
      <protection hidden="1" locked="0"/>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16" fillId="0" borderId="0" xfId="0" applyFont="1" applyBorder="1" applyAlignment="1" applyProtection="1">
      <alignment horizontal="left"/>
      <protection hidden="1" locked="0"/>
    </xf>
    <xf numFmtId="0" fontId="43" fillId="0" borderId="35" xfId="0" applyFont="1" applyBorder="1" applyAlignment="1" applyProtection="1">
      <alignment horizontal="left"/>
      <protection hidden="1"/>
    </xf>
    <xf numFmtId="0" fontId="43" fillId="0" borderId="36" xfId="0" applyFont="1" applyBorder="1" applyAlignment="1" applyProtection="1">
      <alignment horizontal="left"/>
      <protection hidden="1"/>
    </xf>
    <xf numFmtId="0" fontId="43" fillId="0" borderId="37" xfId="0" applyFont="1" applyBorder="1" applyAlignment="1" applyProtection="1">
      <alignment horizontal="left"/>
      <protection hidden="1"/>
    </xf>
    <xf numFmtId="0" fontId="14" fillId="0" borderId="0" xfId="0" applyFont="1" applyBorder="1" applyAlignment="1" applyProtection="1">
      <alignment horizontal="center"/>
      <protection hidden="1"/>
    </xf>
    <xf numFmtId="0" fontId="14" fillId="0" borderId="16" xfId="0" applyFont="1" applyBorder="1" applyAlignment="1" applyProtection="1">
      <alignment horizontal="center"/>
      <protection hidden="1"/>
    </xf>
    <xf numFmtId="0" fontId="15" fillId="0" borderId="11" xfId="0" applyFont="1" applyBorder="1" applyAlignment="1" applyProtection="1">
      <alignment horizontal="left"/>
      <protection hidden="1" locked="0"/>
    </xf>
    <xf numFmtId="0" fontId="15" fillId="0" borderId="0" xfId="0" applyFont="1" applyBorder="1" applyAlignment="1" applyProtection="1">
      <alignment horizontal="left"/>
      <protection hidden="1" locked="0"/>
    </xf>
    <xf numFmtId="0" fontId="15" fillId="0" borderId="29" xfId="0" applyFont="1" applyBorder="1" applyAlignment="1" applyProtection="1">
      <alignment horizontal="left"/>
      <protection hidden="1" locked="0"/>
    </xf>
    <xf numFmtId="0" fontId="15" fillId="0" borderId="11" xfId="0" applyFont="1" applyFill="1" applyBorder="1" applyAlignment="1" applyProtection="1">
      <alignment horizontal="left"/>
      <protection hidden="1" locked="0"/>
    </xf>
    <xf numFmtId="0" fontId="15" fillId="0" borderId="0" xfId="0" applyFont="1" applyFill="1" applyBorder="1" applyAlignment="1" applyProtection="1">
      <alignment horizontal="left"/>
      <protection hidden="1" locked="0"/>
    </xf>
    <xf numFmtId="0" fontId="14" fillId="0" borderId="11" xfId="0" applyFont="1" applyBorder="1" applyAlignment="1" applyProtection="1">
      <alignment horizontal="left"/>
      <protection hidden="1" locked="0"/>
    </xf>
    <xf numFmtId="0" fontId="14" fillId="0" borderId="0" xfId="0" applyFont="1" applyBorder="1" applyAlignment="1" applyProtection="1">
      <alignment horizontal="left"/>
      <protection hidden="1" locked="0"/>
    </xf>
    <xf numFmtId="0" fontId="5" fillId="0" borderId="0" xfId="0" applyFont="1" applyFill="1" applyBorder="1" applyAlignment="1" applyProtection="1">
      <alignment horizontal="left"/>
      <protection hidden="1" locked="0"/>
    </xf>
    <xf numFmtId="0" fontId="5" fillId="0" borderId="29" xfId="0" applyFont="1" applyFill="1" applyBorder="1" applyAlignment="1" applyProtection="1">
      <alignment horizontal="left"/>
      <protection hidden="1" locked="0"/>
    </xf>
    <xf numFmtId="9" fontId="5" fillId="0" borderId="0" xfId="0" applyNumberFormat="1" applyFont="1" applyFill="1" applyBorder="1" applyAlignment="1" applyProtection="1">
      <alignment horizontal="left"/>
      <protection hidden="1" locked="0"/>
    </xf>
    <xf numFmtId="9" fontId="5" fillId="0" borderId="29" xfId="0" applyNumberFormat="1" applyFont="1" applyFill="1" applyBorder="1" applyAlignment="1" applyProtection="1">
      <alignment horizontal="left"/>
      <protection hidden="1" locked="0"/>
    </xf>
    <xf numFmtId="0" fontId="5" fillId="0" borderId="0" xfId="0" applyFont="1" applyBorder="1" applyAlignment="1" applyProtection="1">
      <alignment horizontal="left" shrinkToFit="1"/>
      <protection hidden="1" locked="0"/>
    </xf>
    <xf numFmtId="0" fontId="12" fillId="0" borderId="66"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33" xfId="0" applyFont="1" applyBorder="1" applyAlignment="1" applyProtection="1">
      <alignment horizontal="center" vertical="center"/>
      <protection hidden="1" locked="0"/>
    </xf>
    <xf numFmtId="0" fontId="5" fillId="0" borderId="0" xfId="0" applyFont="1" applyBorder="1" applyAlignment="1" applyProtection="1">
      <alignment horizontal="left"/>
      <protection hidden="1" locked="0"/>
    </xf>
    <xf numFmtId="41" fontId="15" fillId="0" borderId="119" xfId="0" applyNumberFormat="1" applyFont="1" applyBorder="1" applyAlignment="1" applyProtection="1">
      <alignment horizontal="center"/>
      <protection hidden="1" locked="0"/>
    </xf>
    <xf numFmtId="41" fontId="15" fillId="0" borderId="120" xfId="0" applyNumberFormat="1" applyFont="1" applyBorder="1" applyAlignment="1" applyProtection="1">
      <alignment horizontal="center"/>
      <protection hidden="1" locked="0"/>
    </xf>
    <xf numFmtId="0" fontId="14" fillId="0" borderId="121" xfId="0" applyFont="1" applyBorder="1" applyAlignment="1" applyProtection="1">
      <alignment horizontal="left" vertical="center"/>
      <protection hidden="1" locked="0"/>
    </xf>
    <xf numFmtId="0" fontId="14" fillId="0" borderId="72" xfId="0" applyFont="1" applyBorder="1" applyAlignment="1" applyProtection="1">
      <alignment horizontal="left" vertical="center"/>
      <protection hidden="1" locked="0"/>
    </xf>
    <xf numFmtId="0" fontId="14" fillId="0" borderId="65" xfId="0" applyFont="1" applyBorder="1" applyAlignment="1" applyProtection="1">
      <alignment horizontal="left" vertical="center"/>
      <protection hidden="1" locked="0"/>
    </xf>
    <xf numFmtId="0" fontId="14" fillId="0" borderId="66" xfId="0" applyFont="1" applyBorder="1" applyAlignment="1" applyProtection="1">
      <alignment horizontal="left" vertical="center"/>
      <protection hidden="1" locked="0"/>
    </xf>
    <xf numFmtId="0" fontId="14" fillId="0" borderId="14" xfId="0" applyFont="1" applyBorder="1" applyAlignment="1" applyProtection="1">
      <alignment horizontal="left" vertical="center"/>
      <protection hidden="1" locked="0"/>
    </xf>
    <xf numFmtId="0" fontId="14" fillId="0" borderId="33" xfId="0" applyFont="1" applyBorder="1" applyAlignment="1" applyProtection="1">
      <alignment horizontal="left" vertical="center"/>
      <protection hidden="1" locked="0"/>
    </xf>
    <xf numFmtId="0" fontId="19" fillId="0" borderId="64" xfId="0" applyFont="1" applyBorder="1" applyAlignment="1" applyProtection="1">
      <alignment horizontal="left" vertical="center"/>
      <protection hidden="1" locked="0"/>
    </xf>
    <xf numFmtId="0" fontId="19" fillId="0" borderId="25" xfId="0" applyFont="1" applyBorder="1" applyAlignment="1" applyProtection="1">
      <alignment horizontal="left" vertical="center"/>
      <protection hidden="1" locked="0"/>
    </xf>
    <xf numFmtId="0" fontId="11" fillId="0" borderId="11" xfId="0" applyFont="1" applyBorder="1" applyAlignment="1" applyProtection="1">
      <alignment horizontal="left"/>
      <protection hidden="1" locked="0"/>
    </xf>
    <xf numFmtId="0" fontId="11" fillId="0" borderId="0" xfId="0" applyFont="1" applyBorder="1" applyAlignment="1" applyProtection="1">
      <alignment horizontal="left"/>
      <protection hidden="1" locked="0"/>
    </xf>
    <xf numFmtId="0" fontId="15" fillId="0" borderId="25" xfId="0" applyFont="1" applyBorder="1" applyAlignment="1" applyProtection="1">
      <alignment horizontal="right" vertical="center"/>
      <protection hidden="1" locked="0"/>
    </xf>
    <xf numFmtId="41" fontId="15" fillId="0" borderId="65" xfId="0" applyNumberFormat="1" applyFont="1" applyBorder="1" applyAlignment="1" applyProtection="1">
      <alignment horizontal="center"/>
      <protection hidden="1" locked="0"/>
    </xf>
    <xf numFmtId="41" fontId="15" fillId="0" borderId="16" xfId="0" applyNumberFormat="1" applyFont="1" applyBorder="1" applyAlignment="1" applyProtection="1">
      <alignment horizontal="center"/>
      <protection hidden="1" locked="0"/>
    </xf>
    <xf numFmtId="41" fontId="15" fillId="0" borderId="33" xfId="0" applyNumberFormat="1" applyFont="1" applyBorder="1" applyAlignment="1" applyProtection="1">
      <alignment horizontal="center"/>
      <protection hidden="1" locked="0"/>
    </xf>
    <xf numFmtId="41" fontId="15" fillId="0" borderId="122" xfId="0" applyNumberFormat="1" applyFont="1" applyBorder="1" applyAlignment="1" applyProtection="1">
      <alignment horizontal="center"/>
      <protection hidden="1" locked="0"/>
    </xf>
    <xf numFmtId="41" fontId="15" fillId="0" borderId="123" xfId="0" applyNumberFormat="1" applyFont="1" applyBorder="1" applyAlignment="1" applyProtection="1">
      <alignment horizontal="center"/>
      <protection hidden="1" locked="0"/>
    </xf>
    <xf numFmtId="0" fontId="16" fillId="0" borderId="0" xfId="0" applyFont="1" applyFill="1" applyBorder="1" applyAlignment="1" applyProtection="1">
      <alignment horizontal="left"/>
      <protection hidden="1" locked="0"/>
    </xf>
    <xf numFmtId="0" fontId="5" fillId="0" borderId="57" xfId="0" applyFont="1" applyBorder="1" applyAlignment="1" applyProtection="1">
      <alignment horizontal="center" vertical="center"/>
      <protection hidden="1" locked="0"/>
    </xf>
    <xf numFmtId="0" fontId="5" fillId="0" borderId="40" xfId="0" applyFont="1" applyBorder="1" applyAlignment="1" applyProtection="1">
      <alignment horizontal="center" vertical="center"/>
      <protection hidden="1" locked="0"/>
    </xf>
    <xf numFmtId="0" fontId="5" fillId="0" borderId="41" xfId="0" applyFont="1" applyBorder="1" applyAlignment="1" applyProtection="1">
      <alignment horizontal="center" vertical="center"/>
      <protection hidden="1" locked="0"/>
    </xf>
    <xf numFmtId="0" fontId="14" fillId="0" borderId="11" xfId="0" applyFont="1" applyFill="1" applyBorder="1" applyAlignment="1" applyProtection="1">
      <alignment horizontal="left"/>
      <protection hidden="1" locked="0"/>
    </xf>
    <xf numFmtId="0" fontId="14" fillId="0" borderId="0" xfId="0" applyFont="1" applyFill="1" applyBorder="1" applyAlignment="1" applyProtection="1">
      <alignment horizontal="left"/>
      <protection hidden="1" locked="0"/>
    </xf>
    <xf numFmtId="9" fontId="5" fillId="0" borderId="0" xfId="0" applyNumberFormat="1" applyFont="1" applyBorder="1" applyAlignment="1" applyProtection="1">
      <alignment horizontal="left"/>
      <protection hidden="1" locked="0"/>
    </xf>
    <xf numFmtId="9" fontId="5" fillId="0" borderId="29" xfId="0" applyNumberFormat="1" applyFont="1" applyBorder="1" applyAlignment="1" applyProtection="1">
      <alignment horizontal="left"/>
      <protection hidden="1" locked="0"/>
    </xf>
    <xf numFmtId="9" fontId="18" fillId="0" borderId="0" xfId="0" applyNumberFormat="1" applyFont="1" applyBorder="1" applyAlignment="1" applyProtection="1">
      <alignment horizontal="left"/>
      <protection hidden="1" locked="0"/>
    </xf>
    <xf numFmtId="9" fontId="18" fillId="0" borderId="29" xfId="0" applyNumberFormat="1" applyFont="1" applyBorder="1" applyAlignment="1" applyProtection="1">
      <alignment horizontal="left"/>
      <protection hidden="1" locked="0"/>
    </xf>
    <xf numFmtId="0" fontId="15" fillId="0" borderId="15" xfId="0" applyFont="1" applyBorder="1" applyAlignment="1" applyProtection="1">
      <alignment horizontal="left"/>
      <protection hidden="1"/>
    </xf>
    <xf numFmtId="0" fontId="15" fillId="0" borderId="14" xfId="0" applyFont="1" applyBorder="1" applyAlignment="1" applyProtection="1">
      <alignment horizontal="left"/>
      <protection hidden="1"/>
    </xf>
    <xf numFmtId="0" fontId="14" fillId="0" borderId="10" xfId="0" applyFont="1" applyBorder="1" applyAlignment="1" applyProtection="1">
      <alignment horizontal="left"/>
      <protection hidden="1"/>
    </xf>
    <xf numFmtId="0" fontId="14" fillId="0" borderId="0" xfId="0" applyFont="1" applyBorder="1" applyAlignment="1" applyProtection="1">
      <alignment horizontal="left"/>
      <protection hidden="1"/>
    </xf>
    <xf numFmtId="17" fontId="5" fillId="0" borderId="13" xfId="0" applyNumberFormat="1" applyFont="1" applyBorder="1" applyAlignment="1" applyProtection="1">
      <alignment horizontal="center"/>
      <protection hidden="1"/>
    </xf>
    <xf numFmtId="0" fontId="5" fillId="0" borderId="0" xfId="0" applyFont="1" applyBorder="1" applyAlignment="1" applyProtection="1">
      <alignment horizontal="left"/>
      <protection hidden="1"/>
    </xf>
    <xf numFmtId="0" fontId="14" fillId="0" borderId="29" xfId="0" applyFont="1" applyBorder="1" applyAlignment="1" applyProtection="1">
      <alignment horizontal="left"/>
      <protection hidden="1" locked="0"/>
    </xf>
    <xf numFmtId="0" fontId="15" fillId="0" borderId="11" xfId="0" applyFont="1" applyBorder="1" applyAlignment="1" applyProtection="1">
      <alignment horizontal="left"/>
      <protection hidden="1"/>
    </xf>
    <xf numFmtId="0" fontId="15" fillId="0" borderId="0" xfId="0" applyFont="1" applyBorder="1" applyAlignment="1" applyProtection="1">
      <alignment horizontal="left"/>
      <protection hidden="1"/>
    </xf>
    <xf numFmtId="0" fontId="23" fillId="0" borderId="35" xfId="0" applyFont="1" applyBorder="1" applyAlignment="1" applyProtection="1">
      <alignment vertical="center"/>
      <protection hidden="1"/>
    </xf>
    <xf numFmtId="0" fontId="23" fillId="0" borderId="36" xfId="0" applyFont="1" applyBorder="1" applyAlignment="1" applyProtection="1">
      <alignment vertical="center"/>
      <protection hidden="1"/>
    </xf>
    <xf numFmtId="0" fontId="16" fillId="0" borderId="36" xfId="0" applyFont="1" applyBorder="1" applyAlignment="1" applyProtection="1">
      <alignment vertical="center"/>
      <protection hidden="1"/>
    </xf>
    <xf numFmtId="0" fontId="16" fillId="0" borderId="37" xfId="0" applyFont="1" applyBorder="1" applyAlignment="1" applyProtection="1">
      <alignment vertical="center"/>
      <protection hidden="1"/>
    </xf>
    <xf numFmtId="3" fontId="14" fillId="0" borderId="11" xfId="0" applyNumberFormat="1" applyFont="1" applyBorder="1" applyAlignment="1" applyProtection="1">
      <alignment horizontal="left" vertical="center"/>
      <protection hidden="1" locked="0"/>
    </xf>
    <xf numFmtId="3" fontId="14" fillId="0" borderId="0" xfId="0" applyNumberFormat="1" applyFont="1" applyBorder="1" applyAlignment="1" applyProtection="1">
      <alignment horizontal="left" vertical="center"/>
      <protection hidden="1" locked="0"/>
    </xf>
    <xf numFmtId="3" fontId="14" fillId="0" borderId="29" xfId="0" applyNumberFormat="1" applyFont="1" applyBorder="1" applyAlignment="1" applyProtection="1">
      <alignment horizontal="left" vertical="center"/>
      <protection hidden="1" locked="0"/>
    </xf>
    <xf numFmtId="3" fontId="16" fillId="0" borderId="0" xfId="0" applyNumberFormat="1" applyFont="1" applyBorder="1" applyAlignment="1" applyProtection="1">
      <alignment vertical="center"/>
      <protection hidden="1" locked="0"/>
    </xf>
    <xf numFmtId="3" fontId="15" fillId="0" borderId="11" xfId="0" applyNumberFormat="1" applyFont="1" applyBorder="1" applyAlignment="1" applyProtection="1">
      <alignment vertical="center"/>
      <protection hidden="1" locked="0"/>
    </xf>
    <xf numFmtId="3" fontId="15" fillId="0" borderId="0" xfId="0" applyNumberFormat="1" applyFont="1" applyBorder="1" applyAlignment="1" applyProtection="1">
      <alignment vertical="center"/>
      <protection hidden="1" locked="0"/>
    </xf>
    <xf numFmtId="3" fontId="15" fillId="0" borderId="29" xfId="0" applyNumberFormat="1" applyFont="1" applyBorder="1" applyAlignment="1" applyProtection="1">
      <alignment vertical="center"/>
      <protection hidden="1" locked="0"/>
    </xf>
    <xf numFmtId="0" fontId="23" fillId="0" borderId="10"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5" fillId="0" borderId="11" xfId="0" applyFont="1" applyBorder="1" applyAlignment="1" applyProtection="1">
      <alignment vertical="center"/>
      <protection hidden="1" locked="0"/>
    </xf>
    <xf numFmtId="0" fontId="5" fillId="0" borderId="0" xfId="0" applyFont="1" applyBorder="1" applyAlignment="1" applyProtection="1">
      <alignment vertical="center"/>
      <protection hidden="1" locked="0"/>
    </xf>
    <xf numFmtId="0" fontId="15" fillId="0" borderId="11" xfId="0" applyFont="1" applyBorder="1" applyAlignment="1" applyProtection="1">
      <alignment vertical="center"/>
      <protection hidden="1" locked="0"/>
    </xf>
    <xf numFmtId="0" fontId="15" fillId="0" borderId="0" xfId="0" applyFont="1" applyBorder="1" applyAlignment="1" applyProtection="1">
      <alignment vertical="center"/>
      <protection hidden="1" locked="0"/>
    </xf>
    <xf numFmtId="0" fontId="5" fillId="0" borderId="11" xfId="0" applyFont="1" applyBorder="1" applyAlignment="1" applyProtection="1">
      <alignment horizontal="center" vertical="center"/>
      <protection hidden="1" locked="0"/>
    </xf>
    <xf numFmtId="0" fontId="5" fillId="0" borderId="29" xfId="0" applyFont="1" applyBorder="1" applyAlignment="1" applyProtection="1">
      <alignment horizontal="center" vertical="center"/>
      <protection hidden="1" locked="0"/>
    </xf>
    <xf numFmtId="0" fontId="15" fillId="0" borderId="29" xfId="0" applyFont="1" applyBorder="1" applyAlignment="1" applyProtection="1">
      <alignment vertical="center"/>
      <protection hidden="1" locked="0"/>
    </xf>
    <xf numFmtId="0" fontId="5" fillId="0" borderId="68" xfId="0" applyFont="1" applyBorder="1" applyAlignment="1" applyProtection="1">
      <alignment horizontal="center" vertical="center"/>
      <protection hidden="1" locked="0"/>
    </xf>
    <xf numFmtId="0" fontId="5" fillId="0" borderId="20" xfId="0" applyFont="1" applyBorder="1" applyAlignment="1" applyProtection="1">
      <alignment horizontal="center" vertical="center"/>
      <protection hidden="1" locked="0"/>
    </xf>
    <xf numFmtId="0" fontId="20" fillId="0" borderId="10" xfId="0" applyFont="1" applyBorder="1" applyAlignment="1" applyProtection="1">
      <alignment horizontal="center" vertical="center"/>
      <protection hidden="1" locked="0"/>
    </xf>
    <xf numFmtId="0" fontId="20" fillId="0" borderId="0" xfId="0" applyFont="1" applyBorder="1" applyAlignment="1" applyProtection="1">
      <alignment horizontal="center" vertical="center"/>
      <protection hidden="1" locked="0"/>
    </xf>
    <xf numFmtId="0" fontId="20" fillId="0" borderId="16" xfId="0" applyFont="1" applyBorder="1" applyAlignment="1" applyProtection="1">
      <alignment horizontal="center" vertical="center"/>
      <protection hidden="1" locked="0"/>
    </xf>
    <xf numFmtId="0" fontId="16" fillId="0" borderId="121" xfId="0" applyFont="1" applyBorder="1" applyAlignment="1" applyProtection="1">
      <alignment horizontal="center"/>
      <protection hidden="1" locked="0"/>
    </xf>
    <xf numFmtId="0" fontId="16" fillId="0" borderId="72" xfId="0" applyFont="1" applyBorder="1" applyAlignment="1" applyProtection="1">
      <alignment horizontal="center"/>
      <protection hidden="1" locked="0"/>
    </xf>
    <xf numFmtId="0" fontId="16" fillId="0" borderId="65" xfId="0" applyFont="1" applyBorder="1" applyAlignment="1" applyProtection="1">
      <alignment horizontal="center"/>
      <protection hidden="1" locked="0"/>
    </xf>
    <xf numFmtId="0" fontId="5" fillId="0" borderId="17" xfId="0" applyFont="1" applyBorder="1" applyAlignment="1" applyProtection="1">
      <alignment horizontal="center" vertical="center"/>
      <protection hidden="1" locked="0"/>
    </xf>
    <xf numFmtId="0" fontId="5" fillId="0" borderId="56" xfId="0" applyFont="1" applyBorder="1" applyAlignment="1" applyProtection="1">
      <alignment horizontal="center" vertical="center"/>
      <protection hidden="1" locked="0"/>
    </xf>
    <xf numFmtId="0" fontId="5" fillId="0" borderId="15" xfId="0" applyFont="1" applyBorder="1" applyAlignment="1" applyProtection="1">
      <alignment horizontal="center" vertical="center"/>
      <protection hidden="1" locked="0"/>
    </xf>
    <xf numFmtId="0" fontId="5" fillId="0" borderId="33" xfId="0" applyFont="1" applyBorder="1" applyAlignment="1" applyProtection="1">
      <alignment horizontal="center" vertical="center"/>
      <protection hidden="1" locked="0"/>
    </xf>
    <xf numFmtId="17" fontId="15" fillId="0" borderId="53" xfId="0" applyNumberFormat="1" applyFont="1" applyBorder="1" applyAlignment="1" applyProtection="1">
      <alignment horizontal="center" vertical="center"/>
      <protection hidden="1" locked="0"/>
    </xf>
    <xf numFmtId="0" fontId="15" fillId="0" borderId="72" xfId="0" applyFont="1" applyBorder="1" applyAlignment="1" applyProtection="1">
      <alignment horizontal="center" vertical="center"/>
      <protection hidden="1" locked="0"/>
    </xf>
    <xf numFmtId="0" fontId="15" fillId="0" borderId="11" xfId="0" applyFont="1" applyBorder="1" applyAlignment="1" applyProtection="1">
      <alignment horizontal="center" vertical="center"/>
      <protection hidden="1" locked="0"/>
    </xf>
    <xf numFmtId="0" fontId="15" fillId="0" borderId="0" xfId="0" applyFont="1" applyBorder="1" applyAlignment="1" applyProtection="1">
      <alignment horizontal="center" vertical="center"/>
      <protection hidden="1" locked="0"/>
    </xf>
    <xf numFmtId="0" fontId="15" fillId="0" borderId="15" xfId="0" applyFont="1" applyBorder="1" applyAlignment="1" applyProtection="1">
      <alignment horizontal="center" vertical="center"/>
      <protection hidden="1" locked="0"/>
    </xf>
    <xf numFmtId="0" fontId="15" fillId="0" borderId="14" xfId="0" applyFont="1" applyBorder="1" applyAlignment="1" applyProtection="1">
      <alignment horizontal="center" vertical="center"/>
      <protection hidden="1" locked="0"/>
    </xf>
    <xf numFmtId="0" fontId="15" fillId="0" borderId="54" xfId="0" applyFont="1" applyBorder="1" applyAlignment="1" applyProtection="1">
      <alignment horizontal="center" vertical="center"/>
      <protection hidden="1" locked="0"/>
    </xf>
    <xf numFmtId="0" fontId="15" fillId="0" borderId="29" xfId="0" applyFont="1" applyBorder="1" applyAlignment="1" applyProtection="1">
      <alignment horizontal="center" vertical="center"/>
      <protection hidden="1" locked="0"/>
    </xf>
    <xf numFmtId="0" fontId="15" fillId="0" borderId="55" xfId="0" applyFont="1" applyBorder="1" applyAlignment="1" applyProtection="1">
      <alignment horizontal="center" vertical="center"/>
      <protection hidden="1" locked="0"/>
    </xf>
    <xf numFmtId="0" fontId="15" fillId="0" borderId="16" xfId="0" applyFont="1" applyBorder="1" applyAlignment="1" applyProtection="1">
      <alignment horizontal="center" vertical="center"/>
      <protection hidden="1" locked="0"/>
    </xf>
    <xf numFmtId="0" fontId="15" fillId="0" borderId="33" xfId="0" applyFont="1" applyBorder="1" applyAlignment="1" applyProtection="1">
      <alignment horizontal="center" vertical="center"/>
      <protection hidden="1" locked="0"/>
    </xf>
    <xf numFmtId="0" fontId="14" fillId="0" borderId="124" xfId="0" applyFont="1" applyBorder="1" applyAlignment="1" applyProtection="1">
      <alignment horizontal="center" vertical="center"/>
      <protection hidden="1" locked="0"/>
    </xf>
    <xf numFmtId="0" fontId="14" fillId="0" borderId="110" xfId="0" applyFont="1" applyBorder="1" applyAlignment="1" applyProtection="1">
      <alignment horizontal="center" vertical="center"/>
      <protection hidden="1" locked="0"/>
    </xf>
    <xf numFmtId="0" fontId="14" fillId="0" borderId="111" xfId="0" applyFont="1" applyBorder="1" applyAlignment="1" applyProtection="1">
      <alignment horizontal="center" vertical="center"/>
      <protection hidden="1" locked="0"/>
    </xf>
    <xf numFmtId="0" fontId="14" fillId="0" borderId="109" xfId="0" applyFont="1" applyBorder="1" applyAlignment="1" applyProtection="1">
      <alignment horizontal="center" vertical="center"/>
      <protection hidden="1" locked="0"/>
    </xf>
    <xf numFmtId="0" fontId="11" fillId="0" borderId="109" xfId="0" applyFont="1" applyBorder="1" applyAlignment="1" applyProtection="1">
      <alignment horizontal="center" vertical="center"/>
      <protection hidden="1" locked="0"/>
    </xf>
    <xf numFmtId="0" fontId="11" fillId="0" borderId="110" xfId="0" applyFont="1" applyBorder="1" applyAlignment="1" applyProtection="1">
      <alignment horizontal="center" vertical="center"/>
      <protection hidden="1" locked="0"/>
    </xf>
    <xf numFmtId="0" fontId="11" fillId="0" borderId="111" xfId="0" applyFont="1" applyBorder="1" applyAlignment="1" applyProtection="1">
      <alignment horizontal="center" vertical="center"/>
      <protection hidden="1" locked="0"/>
    </xf>
    <xf numFmtId="0" fontId="14" fillId="0" borderId="125" xfId="0" applyFont="1" applyBorder="1" applyAlignment="1" applyProtection="1">
      <alignment horizontal="center" vertical="center"/>
      <protection hidden="1" locked="0"/>
    </xf>
    <xf numFmtId="0" fontId="5" fillId="0" borderId="66" xfId="0" applyFont="1" applyBorder="1" applyAlignment="1" applyProtection="1">
      <alignment horizontal="center" vertical="center" wrapText="1"/>
      <protection hidden="1" locked="0"/>
    </xf>
    <xf numFmtId="0" fontId="5" fillId="0" borderId="14" xfId="0" applyFont="1" applyBorder="1" applyAlignment="1" applyProtection="1">
      <alignment horizontal="center" vertical="center" wrapText="1"/>
      <protection hidden="1" locked="0"/>
    </xf>
    <xf numFmtId="0" fontId="5" fillId="0" borderId="22" xfId="0" applyFont="1" applyBorder="1" applyAlignment="1" applyProtection="1">
      <alignment horizontal="center" vertical="center" wrapText="1"/>
      <protection hidden="1" locked="0"/>
    </xf>
    <xf numFmtId="0" fontId="5" fillId="0" borderId="33" xfId="0" applyFont="1" applyBorder="1" applyAlignment="1" applyProtection="1">
      <alignment horizontal="center" vertical="center" wrapText="1"/>
      <protection hidden="1" locked="0"/>
    </xf>
    <xf numFmtId="0" fontId="5" fillId="0" borderId="53" xfId="0" applyFont="1" applyBorder="1" applyAlignment="1" applyProtection="1">
      <alignment horizontal="center" vertical="center"/>
      <protection hidden="1" locked="0"/>
    </xf>
    <xf numFmtId="0" fontId="5" fillId="0" borderId="65" xfId="0" applyFont="1" applyBorder="1" applyAlignment="1" applyProtection="1">
      <alignment horizontal="center" vertical="center"/>
      <protection hidden="1" locked="0"/>
    </xf>
    <xf numFmtId="41" fontId="14" fillId="0" borderId="10" xfId="0" applyNumberFormat="1" applyFont="1" applyBorder="1" applyAlignment="1" applyProtection="1">
      <alignment horizontal="center"/>
      <protection hidden="1" locked="0"/>
    </xf>
    <xf numFmtId="41" fontId="14" fillId="0" borderId="0" xfId="0" applyNumberFormat="1" applyFont="1" applyBorder="1" applyAlignment="1" applyProtection="1">
      <alignment horizontal="center"/>
      <protection hidden="1" locked="0"/>
    </xf>
    <xf numFmtId="0" fontId="14" fillId="0" borderId="16" xfId="0" applyFont="1" applyBorder="1" applyAlignment="1" applyProtection="1">
      <alignment horizontal="left"/>
      <protection hidden="1" locked="0"/>
    </xf>
    <xf numFmtId="41" fontId="5" fillId="0" borderId="10" xfId="0" applyNumberFormat="1" applyFont="1" applyBorder="1" applyAlignment="1" applyProtection="1">
      <alignment horizontal="center"/>
      <protection hidden="1" locked="0"/>
    </xf>
    <xf numFmtId="41" fontId="5" fillId="0" borderId="0" xfId="0" applyNumberFormat="1" applyFont="1" applyBorder="1" applyAlignment="1" applyProtection="1">
      <alignment horizontal="center"/>
      <protection hidden="1" locked="0"/>
    </xf>
    <xf numFmtId="0" fontId="21" fillId="0" borderId="57" xfId="0" applyFont="1" applyBorder="1" applyAlignment="1" applyProtection="1">
      <alignment horizontal="center" vertical="center" wrapText="1"/>
      <protection hidden="1" locked="0"/>
    </xf>
    <xf numFmtId="0" fontId="22" fillId="0" borderId="40" xfId="0" applyFont="1" applyBorder="1" applyAlignment="1" applyProtection="1">
      <alignment horizontal="center" vertical="center" wrapText="1"/>
      <protection hidden="1" locked="0"/>
    </xf>
    <xf numFmtId="0" fontId="22" fillId="0" borderId="41"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5" fillId="0" borderId="0" xfId="0" applyFont="1" applyBorder="1" applyAlignment="1" applyProtection="1">
      <alignment horizontal="center" vertical="center" wrapText="1"/>
      <protection hidden="1" locked="0"/>
    </xf>
    <xf numFmtId="0" fontId="5" fillId="0" borderId="16" xfId="0" applyFont="1" applyBorder="1" applyAlignment="1" applyProtection="1">
      <alignment horizontal="center" vertical="center" wrapText="1"/>
      <protection hidden="1" locked="0"/>
    </xf>
    <xf numFmtId="0" fontId="16" fillId="0" borderId="126" xfId="0" applyFont="1" applyBorder="1" applyAlignment="1" applyProtection="1">
      <alignment horizontal="center" vertical="center"/>
      <protection hidden="1" locked="0"/>
    </xf>
    <xf numFmtId="0" fontId="16" fillId="0" borderId="25" xfId="0" applyFont="1" applyBorder="1" applyAlignment="1" applyProtection="1">
      <alignment horizontal="center" vertical="center"/>
      <protection hidden="1" locked="0"/>
    </xf>
    <xf numFmtId="0" fontId="16" fillId="0" borderId="64" xfId="0" applyFont="1" applyBorder="1" applyAlignment="1" applyProtection="1">
      <alignment horizontal="center" vertical="center"/>
      <protection hidden="1" locked="0"/>
    </xf>
    <xf numFmtId="0" fontId="16" fillId="0" borderId="26" xfId="0" applyFont="1" applyBorder="1" applyAlignment="1" applyProtection="1">
      <alignment horizontal="center" vertical="center"/>
      <protection hidden="1" locked="0"/>
    </xf>
    <xf numFmtId="41" fontId="20" fillId="0" borderId="10" xfId="0" applyNumberFormat="1" applyFont="1" applyBorder="1" applyAlignment="1" applyProtection="1">
      <alignment horizontal="center"/>
      <protection hidden="1" locked="0"/>
    </xf>
    <xf numFmtId="41" fontId="20" fillId="0" borderId="0" xfId="0" applyNumberFormat="1" applyFont="1" applyBorder="1" applyAlignment="1" applyProtection="1">
      <alignment horizontal="center"/>
      <protection hidden="1" locked="0"/>
    </xf>
    <xf numFmtId="0" fontId="16" fillId="0" borderId="18" xfId="0" applyFont="1" applyFill="1" applyBorder="1" applyAlignment="1" applyProtection="1">
      <alignment horizontal="center"/>
      <protection hidden="1"/>
    </xf>
    <xf numFmtId="0" fontId="16" fillId="0" borderId="19" xfId="0" applyFont="1" applyFill="1" applyBorder="1" applyAlignment="1" applyProtection="1">
      <alignment horizontal="center"/>
      <protection hidden="1"/>
    </xf>
    <xf numFmtId="0" fontId="16" fillId="0" borderId="24" xfId="0" applyFont="1" applyFill="1" applyBorder="1" applyAlignment="1" applyProtection="1">
      <alignment horizontal="center"/>
      <protection hidden="1"/>
    </xf>
    <xf numFmtId="0" fontId="5" fillId="0" borderId="10" xfId="0"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188" fontId="5" fillId="0" borderId="0" xfId="0" applyNumberFormat="1" applyFont="1" applyFill="1" applyBorder="1" applyAlignment="1" applyProtection="1">
      <alignment horizontal="left"/>
      <protection hidden="1"/>
    </xf>
    <xf numFmtId="0" fontId="16" fillId="0" borderId="18" xfId="0" applyFont="1" applyFill="1" applyBorder="1" applyAlignment="1" applyProtection="1">
      <alignment horizontal="center"/>
      <protection hidden="1" locked="0"/>
    </xf>
    <xf numFmtId="0" fontId="16" fillId="0" borderId="22" xfId="0" applyFont="1" applyFill="1" applyBorder="1" applyAlignment="1" applyProtection="1">
      <alignment horizontal="center"/>
      <protection hidden="1" locked="0"/>
    </xf>
    <xf numFmtId="0" fontId="16" fillId="0" borderId="19" xfId="0" applyFont="1" applyFill="1" applyBorder="1" applyAlignment="1" applyProtection="1">
      <alignment horizontal="center"/>
      <protection hidden="1" locked="0"/>
    </xf>
    <xf numFmtId="0" fontId="16" fillId="0" borderId="24" xfId="0" applyFont="1" applyFill="1" applyBorder="1" applyAlignment="1" applyProtection="1">
      <alignment horizontal="center"/>
      <protection hidden="1" locked="0"/>
    </xf>
    <xf numFmtId="0" fontId="16" fillId="0" borderId="72" xfId="0" applyFont="1" applyFill="1" applyBorder="1" applyAlignment="1" applyProtection="1">
      <alignment horizontal="center"/>
      <protection hidden="1"/>
    </xf>
    <xf numFmtId="0" fontId="14" fillId="0" borderId="1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14" fillId="0" borderId="16" xfId="0" applyFont="1" applyFill="1" applyBorder="1" applyAlignment="1" applyProtection="1">
      <alignment horizontal="left" vertical="center" wrapText="1"/>
      <protection hidden="1"/>
    </xf>
    <xf numFmtId="0" fontId="16" fillId="0" borderId="11" xfId="0" applyFont="1" applyFill="1" applyBorder="1" applyAlignment="1" applyProtection="1">
      <alignment horizontal="center"/>
      <protection hidden="1" locked="0"/>
    </xf>
    <xf numFmtId="0" fontId="16" fillId="0" borderId="0" xfId="0" applyFont="1" applyFill="1" applyBorder="1" applyAlignment="1" applyProtection="1">
      <alignment horizontal="center"/>
      <protection hidden="1" locked="0"/>
    </xf>
    <xf numFmtId="0" fontId="16" fillId="0" borderId="29" xfId="0" applyFont="1" applyFill="1" applyBorder="1" applyAlignment="1" applyProtection="1">
      <alignment horizontal="center"/>
      <protection hidden="1" locked="0"/>
    </xf>
    <xf numFmtId="0" fontId="16" fillId="0" borderId="16" xfId="0" applyFont="1" applyFill="1" applyBorder="1" applyAlignment="1" applyProtection="1">
      <alignment horizontal="center"/>
      <protection hidden="1" locked="0"/>
    </xf>
    <xf numFmtId="0" fontId="16" fillId="0" borderId="15" xfId="0" applyFont="1" applyFill="1" applyBorder="1" applyAlignment="1" applyProtection="1">
      <alignment horizontal="center"/>
      <protection hidden="1" locked="0"/>
    </xf>
    <xf numFmtId="0" fontId="16" fillId="0" borderId="14" xfId="0" applyFont="1" applyFill="1" applyBorder="1" applyAlignment="1" applyProtection="1">
      <alignment horizontal="center"/>
      <protection hidden="1" locked="0"/>
    </xf>
    <xf numFmtId="0" fontId="16" fillId="0" borderId="55" xfId="0" applyFont="1" applyFill="1" applyBorder="1" applyAlignment="1" applyProtection="1">
      <alignment horizontal="center"/>
      <protection hidden="1" locked="0"/>
    </xf>
    <xf numFmtId="0" fontId="16" fillId="0" borderId="33" xfId="0" applyFont="1" applyFill="1" applyBorder="1" applyAlignment="1" applyProtection="1">
      <alignment horizontal="center"/>
      <protection hidden="1" locked="0"/>
    </xf>
    <xf numFmtId="0" fontId="5" fillId="0" borderId="0" xfId="0" applyFont="1" applyFill="1" applyBorder="1" applyAlignment="1" applyProtection="1">
      <alignment/>
      <protection hidden="1" locked="0"/>
    </xf>
    <xf numFmtId="0" fontId="15" fillId="0" borderId="0" xfId="0" applyFont="1" applyFill="1" applyBorder="1" applyAlignment="1" applyProtection="1">
      <alignment horizontal="left" vertical="center"/>
      <protection hidden="1" locked="0"/>
    </xf>
    <xf numFmtId="0" fontId="15" fillId="0" borderId="10" xfId="0" applyFont="1" applyFill="1" applyBorder="1" applyAlignment="1" applyProtection="1">
      <alignment horizontal="center" shrinkToFit="1"/>
      <protection hidden="1" locked="0"/>
    </xf>
    <xf numFmtId="0" fontId="15" fillId="0" borderId="0" xfId="0" applyFont="1" applyFill="1" applyBorder="1" applyAlignment="1" applyProtection="1">
      <alignment horizontal="center" shrinkToFit="1"/>
      <protection hidden="1" locked="0"/>
    </xf>
    <xf numFmtId="0" fontId="15" fillId="0" borderId="16" xfId="0" applyFont="1" applyFill="1" applyBorder="1" applyAlignment="1" applyProtection="1">
      <alignment horizontal="center" shrinkToFit="1"/>
      <protection hidden="1" locked="0"/>
    </xf>
    <xf numFmtId="0" fontId="5" fillId="0" borderId="10" xfId="0" applyFont="1" applyFill="1" applyBorder="1" applyAlignment="1" applyProtection="1">
      <alignment horizontal="center"/>
      <protection hidden="1" locked="0"/>
    </xf>
    <xf numFmtId="0" fontId="5" fillId="0" borderId="0" xfId="0" applyFont="1" applyFill="1" applyBorder="1" applyAlignment="1" applyProtection="1">
      <alignment horizontal="center"/>
      <protection hidden="1" locked="0"/>
    </xf>
    <xf numFmtId="0" fontId="5" fillId="0" borderId="16" xfId="0" applyFont="1" applyFill="1" applyBorder="1" applyAlignment="1" applyProtection="1">
      <alignment horizontal="center"/>
      <protection hidden="1" locked="0"/>
    </xf>
    <xf numFmtId="0" fontId="16" fillId="0" borderId="53" xfId="0" applyFont="1" applyFill="1" applyBorder="1" applyAlignment="1" applyProtection="1">
      <alignment horizontal="center"/>
      <protection hidden="1" locked="0"/>
    </xf>
    <xf numFmtId="0" fontId="16" fillId="0" borderId="72" xfId="0" applyFont="1" applyFill="1" applyBorder="1" applyAlignment="1" applyProtection="1">
      <alignment horizontal="center"/>
      <protection hidden="1" locked="0"/>
    </xf>
    <xf numFmtId="0" fontId="16" fillId="0" borderId="54" xfId="0" applyFont="1" applyFill="1" applyBorder="1" applyAlignment="1" applyProtection="1">
      <alignment horizontal="center"/>
      <protection hidden="1" locked="0"/>
    </xf>
    <xf numFmtId="0" fontId="16" fillId="0" borderId="65" xfId="0" applyFont="1" applyFill="1" applyBorder="1" applyAlignment="1" applyProtection="1">
      <alignment horizontal="center"/>
      <protection hidden="1" locked="0"/>
    </xf>
    <xf numFmtId="0" fontId="15" fillId="0" borderId="47" xfId="0" applyFont="1" applyFill="1" applyBorder="1" applyAlignment="1" applyProtection="1">
      <alignment horizontal="left"/>
      <protection hidden="1" locked="0"/>
    </xf>
    <xf numFmtId="0" fontId="16" fillId="0" borderId="11" xfId="0" applyFont="1" applyFill="1" applyBorder="1" applyAlignment="1" applyProtection="1">
      <alignment horizontal="left" indent="2"/>
      <protection hidden="1" locked="0"/>
    </xf>
    <xf numFmtId="0" fontId="16" fillId="0" borderId="0" xfId="0" applyFont="1" applyFill="1" applyBorder="1" applyAlignment="1" applyProtection="1">
      <alignment horizontal="left" indent="2"/>
      <protection hidden="1" locked="0"/>
    </xf>
    <xf numFmtId="0" fontId="16" fillId="0" borderId="11" xfId="0" applyFont="1" applyFill="1" applyBorder="1" applyAlignment="1" applyProtection="1">
      <alignment horizontal="left"/>
      <protection hidden="1" locked="0"/>
    </xf>
    <xf numFmtId="0" fontId="15" fillId="0" borderId="40" xfId="0" applyFont="1" applyFill="1" applyBorder="1" applyAlignment="1" applyProtection="1">
      <alignment horizontal="left"/>
      <protection hidden="1" locked="0"/>
    </xf>
    <xf numFmtId="0" fontId="5" fillId="0" borderId="40" xfId="0" applyFont="1" applyFill="1" applyBorder="1" applyAlignment="1" applyProtection="1">
      <alignment horizontal="center"/>
      <protection hidden="1" locked="0"/>
    </xf>
    <xf numFmtId="0" fontId="15" fillId="0" borderId="0" xfId="0" applyFont="1" applyFill="1" applyBorder="1" applyAlignment="1" applyProtection="1">
      <alignment horizontal="left" vertical="top"/>
      <protection hidden="1" locked="0"/>
    </xf>
    <xf numFmtId="0" fontId="5" fillId="0" borderId="0" xfId="0" applyFont="1" applyFill="1" applyBorder="1" applyAlignment="1" applyProtection="1">
      <alignment horizontal="center" vertical="top"/>
      <protection hidden="1" locked="0"/>
    </xf>
    <xf numFmtId="0" fontId="39" fillId="0" borderId="127" xfId="57" applyFont="1" applyFill="1" applyBorder="1" applyAlignment="1" applyProtection="1">
      <alignment horizontal="center" vertical="center"/>
      <protection hidden="1"/>
    </xf>
    <xf numFmtId="0" fontId="39" fillId="0" borderId="47" xfId="57" applyFont="1" applyFill="1" applyBorder="1" applyAlignment="1" applyProtection="1">
      <alignment horizontal="center" vertical="center"/>
      <protection hidden="1"/>
    </xf>
    <xf numFmtId="0" fontId="38" fillId="0" borderId="127" xfId="57" applyFont="1" applyFill="1" applyBorder="1" applyAlignment="1" applyProtection="1">
      <alignment horizontal="center" vertical="center"/>
      <protection hidden="1"/>
    </xf>
    <xf numFmtId="0" fontId="7" fillId="0" borderId="47" xfId="57" applyFont="1" applyFill="1" applyBorder="1" applyAlignment="1" applyProtection="1">
      <alignment horizontal="center" vertical="center"/>
      <protection hidden="1"/>
    </xf>
    <xf numFmtId="0" fontId="36" fillId="0" borderId="0" xfId="57" applyFont="1" applyFill="1" applyBorder="1" applyAlignment="1" applyProtection="1">
      <alignment horizontal="center" vertical="center"/>
      <protection hidden="1"/>
    </xf>
    <xf numFmtId="0" fontId="38" fillId="0" borderId="0" xfId="57" applyFont="1" applyFill="1" applyBorder="1" applyAlignment="1" applyProtection="1">
      <alignment horizontal="center" vertical="center"/>
      <protection hidden="1"/>
    </xf>
    <xf numFmtId="0" fontId="200" fillId="0" borderId="0" xfId="0" applyFont="1" applyAlignment="1">
      <alignment horizontal="center" wrapText="1"/>
    </xf>
    <xf numFmtId="0" fontId="201" fillId="0" borderId="0" xfId="0" applyFont="1" applyAlignment="1">
      <alignment horizontal="center" vertical="center"/>
    </xf>
    <xf numFmtId="0" fontId="191" fillId="0" borderId="0" xfId="0" applyFont="1" applyAlignment="1">
      <alignment horizontal="left" vertical="center" wrapText="1"/>
    </xf>
    <xf numFmtId="0" fontId="202" fillId="0" borderId="0" xfId="0" applyFont="1" applyAlignment="1">
      <alignment horizontal="center"/>
    </xf>
    <xf numFmtId="0" fontId="203" fillId="0" borderId="0" xfId="0" applyFont="1" applyAlignment="1">
      <alignment horizontal="left" wrapText="1"/>
    </xf>
    <xf numFmtId="0" fontId="191" fillId="0" borderId="0" xfId="0" applyFont="1" applyAlignment="1">
      <alignment horizontal="left" wrapText="1"/>
    </xf>
    <xf numFmtId="0" fontId="171" fillId="0" borderId="0" xfId="0" applyFont="1" applyAlignment="1">
      <alignment horizontal="right"/>
    </xf>
    <xf numFmtId="0" fontId="156" fillId="0" borderId="0" xfId="0" applyFont="1" applyAlignment="1">
      <alignment horizontal="center"/>
    </xf>
    <xf numFmtId="0" fontId="179" fillId="90" borderId="0" xfId="0" applyFont="1" applyFill="1" applyBorder="1" applyAlignment="1" applyProtection="1">
      <alignment horizontal="left" vertical="center" wrapText="1"/>
      <protection locked="0"/>
    </xf>
    <xf numFmtId="0" fontId="179" fillId="90" borderId="84" xfId="0" applyFont="1" applyFill="1" applyBorder="1" applyAlignment="1" applyProtection="1">
      <alignment horizontal="left" vertical="center" wrapText="1"/>
      <protection locked="0"/>
    </xf>
    <xf numFmtId="0" fontId="179" fillId="90" borderId="100" xfId="0" applyFont="1" applyFill="1" applyBorder="1" applyAlignment="1" applyProtection="1">
      <alignment horizontal="left" vertical="center" wrapText="1"/>
      <protection locked="0"/>
    </xf>
    <xf numFmtId="0" fontId="179" fillId="90" borderId="128" xfId="0" applyFont="1" applyFill="1" applyBorder="1" applyAlignment="1" applyProtection="1">
      <alignment horizontal="left" vertical="center" wrapText="1"/>
      <protection locked="0"/>
    </xf>
    <xf numFmtId="0" fontId="178" fillId="90" borderId="89" xfId="0" applyFont="1" applyFill="1" applyBorder="1" applyAlignment="1">
      <alignment horizontal="center" vertical="center" wrapText="1"/>
    </xf>
    <xf numFmtId="0" fontId="178" fillId="90" borderId="129" xfId="0" applyFont="1" applyFill="1" applyBorder="1" applyAlignment="1">
      <alignment horizontal="center" vertical="center" wrapText="1"/>
    </xf>
    <xf numFmtId="0" fontId="178" fillId="90" borderId="130" xfId="0" applyFont="1" applyFill="1" applyBorder="1" applyAlignment="1">
      <alignment horizontal="center" vertical="center" wrapText="1"/>
    </xf>
    <xf numFmtId="0" fontId="179" fillId="90" borderId="98" xfId="0" applyFont="1" applyFill="1" applyBorder="1" applyAlignment="1" applyProtection="1">
      <alignment horizontal="left" vertical="center" wrapText="1"/>
      <protection hidden="1"/>
    </xf>
    <xf numFmtId="0" fontId="179" fillId="90" borderId="72" xfId="0" applyFont="1" applyFill="1" applyBorder="1" applyAlignment="1" applyProtection="1">
      <alignment horizontal="left" vertical="center" wrapText="1"/>
      <protection hidden="1"/>
    </xf>
    <xf numFmtId="0" fontId="179" fillId="90" borderId="131" xfId="0" applyFont="1" applyFill="1" applyBorder="1" applyAlignment="1" applyProtection="1">
      <alignment horizontal="left" vertical="center" wrapText="1"/>
      <protection hidden="1"/>
    </xf>
    <xf numFmtId="0" fontId="179" fillId="90" borderId="132" xfId="0" applyFont="1" applyFill="1" applyBorder="1" applyAlignment="1" applyProtection="1">
      <alignment horizontal="left" vertical="center" wrapText="1"/>
      <protection hidden="1"/>
    </xf>
    <xf numFmtId="0" fontId="179" fillId="90" borderId="14" xfId="0" applyFont="1" applyFill="1" applyBorder="1" applyAlignment="1" applyProtection="1">
      <alignment horizontal="left" vertical="center" wrapText="1"/>
      <protection hidden="1"/>
    </xf>
    <xf numFmtId="0" fontId="179" fillId="90" borderId="133" xfId="0" applyFont="1" applyFill="1" applyBorder="1" applyAlignment="1" applyProtection="1">
      <alignment horizontal="left" vertical="center" wrapText="1"/>
      <protection hidden="1"/>
    </xf>
    <xf numFmtId="0" fontId="179" fillId="90" borderId="72" xfId="0" applyFont="1" applyFill="1" applyBorder="1" applyAlignment="1" applyProtection="1">
      <alignment horizontal="left" vertical="center" wrapText="1"/>
      <protection locked="0"/>
    </xf>
    <xf numFmtId="0" fontId="179" fillId="90" borderId="72" xfId="0" applyFont="1" applyFill="1" applyBorder="1" applyAlignment="1" applyProtection="1">
      <alignment horizontal="justify" vertical="center" wrapText="1"/>
      <protection/>
    </xf>
    <xf numFmtId="0" fontId="179" fillId="90" borderId="131" xfId="0" applyFont="1" applyFill="1" applyBorder="1" applyAlignment="1" applyProtection="1">
      <alignment horizontal="justify" vertical="center" wrapText="1"/>
      <protection/>
    </xf>
    <xf numFmtId="14" fontId="179" fillId="90" borderId="0" xfId="0" applyNumberFormat="1" applyFont="1" applyFill="1" applyBorder="1" applyAlignment="1" applyProtection="1">
      <alignment horizontal="left" vertical="center" wrapText="1"/>
      <protection locked="0"/>
    </xf>
    <xf numFmtId="0" fontId="179" fillId="90" borderId="0" xfId="0" applyFont="1" applyFill="1" applyBorder="1" applyAlignment="1" applyProtection="1">
      <alignment horizontal="center" vertical="center" wrapText="1"/>
      <protection locked="0"/>
    </xf>
    <xf numFmtId="0" fontId="179" fillId="90" borderId="84" xfId="0" applyFont="1" applyFill="1" applyBorder="1" applyAlignment="1" applyProtection="1">
      <alignment horizontal="center" vertical="center" wrapText="1"/>
      <protection locked="0"/>
    </xf>
    <xf numFmtId="192" fontId="204" fillId="90" borderId="44" xfId="42" applyNumberFormat="1" applyFont="1" applyFill="1" applyBorder="1" applyAlignment="1" applyProtection="1">
      <alignment horizontal="left" vertical="center" wrapText="1"/>
      <protection locked="0"/>
    </xf>
    <xf numFmtId="192" fontId="204" fillId="90" borderId="134" xfId="42" applyNumberFormat="1" applyFont="1" applyFill="1" applyBorder="1" applyAlignment="1" applyProtection="1">
      <alignment horizontal="left" vertical="center" wrapText="1"/>
      <protection locked="0"/>
    </xf>
    <xf numFmtId="192" fontId="204" fillId="90" borderId="94" xfId="42" applyNumberFormat="1" applyFont="1" applyFill="1" applyBorder="1" applyAlignment="1" applyProtection="1">
      <alignment horizontal="left" vertical="center" wrapText="1"/>
      <protection locked="0"/>
    </xf>
    <xf numFmtId="192" fontId="204" fillId="90" borderId="135" xfId="42" applyNumberFormat="1" applyFont="1" applyFill="1" applyBorder="1" applyAlignment="1" applyProtection="1">
      <alignment horizontal="left" vertical="center" wrapText="1"/>
      <protection locked="0"/>
    </xf>
    <xf numFmtId="44" fontId="180" fillId="90" borderId="27" xfId="0" applyNumberFormat="1" applyFont="1" applyFill="1" applyBorder="1" applyAlignment="1" applyProtection="1">
      <alignment vertical="center" wrapText="1"/>
      <protection hidden="1"/>
    </xf>
    <xf numFmtId="44" fontId="180" fillId="90" borderId="28" xfId="0" applyNumberFormat="1" applyFont="1" applyFill="1" applyBorder="1" applyAlignment="1" applyProtection="1">
      <alignment vertical="center" wrapText="1"/>
      <protection hidden="1"/>
    </xf>
    <xf numFmtId="44" fontId="180" fillId="90" borderId="62" xfId="0" applyNumberFormat="1" applyFont="1" applyFill="1" applyBorder="1" applyAlignment="1" applyProtection="1">
      <alignment vertical="center" wrapText="1"/>
      <protection hidden="1"/>
    </xf>
    <xf numFmtId="0" fontId="179" fillId="90" borderId="59" xfId="0" applyFont="1" applyFill="1" applyBorder="1" applyAlignment="1">
      <alignment horizontal="left" vertical="center" shrinkToFit="1"/>
    </xf>
    <xf numFmtId="0" fontId="179" fillId="90" borderId="136" xfId="0" applyFont="1" applyFill="1" applyBorder="1" applyAlignment="1">
      <alignment horizontal="left" vertical="center" shrinkToFit="1"/>
    </xf>
    <xf numFmtId="0" fontId="180" fillId="90" borderId="13" xfId="0" applyFont="1" applyFill="1" applyBorder="1" applyAlignment="1" applyProtection="1">
      <alignment horizontal="left" vertical="center" wrapText="1"/>
      <protection hidden="1"/>
    </xf>
    <xf numFmtId="0" fontId="179" fillId="90" borderId="13" xfId="0" applyFont="1" applyFill="1" applyBorder="1" applyAlignment="1" applyProtection="1">
      <alignment horizontal="center" vertical="center" wrapText="1"/>
      <protection hidden="1"/>
    </xf>
    <xf numFmtId="0" fontId="179" fillId="90" borderId="61" xfId="0" applyFont="1" applyFill="1" applyBorder="1" applyAlignment="1" applyProtection="1">
      <alignment horizontal="center" vertical="center" wrapText="1"/>
      <protection hidden="1"/>
    </xf>
    <xf numFmtId="0" fontId="179" fillId="90" borderId="13" xfId="0" applyFont="1" applyFill="1" applyBorder="1" applyAlignment="1" applyProtection="1">
      <alignment horizontal="left" vertical="center"/>
      <protection hidden="1"/>
    </xf>
    <xf numFmtId="192" fontId="204" fillId="90" borderId="27" xfId="42" applyNumberFormat="1" applyFont="1" applyFill="1" applyBorder="1" applyAlignment="1" applyProtection="1">
      <alignment horizontal="left" vertical="center" wrapText="1"/>
      <protection locked="0"/>
    </xf>
    <xf numFmtId="192" fontId="204" fillId="90" borderId="137" xfId="42" applyNumberFormat="1" applyFont="1" applyFill="1" applyBorder="1" applyAlignment="1" applyProtection="1">
      <alignment horizontal="left" vertical="center" wrapText="1"/>
      <protection locked="0"/>
    </xf>
    <xf numFmtId="192" fontId="204" fillId="90" borderId="12" xfId="42" applyNumberFormat="1" applyFont="1" applyFill="1" applyBorder="1" applyAlignment="1" applyProtection="1">
      <alignment horizontal="left" vertical="center" wrapText="1"/>
      <protection locked="0"/>
    </xf>
    <xf numFmtId="192" fontId="204" fillId="90" borderId="138" xfId="42" applyNumberFormat="1" applyFont="1" applyFill="1" applyBorder="1" applyAlignment="1" applyProtection="1">
      <alignment horizontal="left" vertical="center" wrapText="1"/>
      <protection locked="0"/>
    </xf>
    <xf numFmtId="192" fontId="204" fillId="90" borderId="11" xfId="42" applyNumberFormat="1" applyFont="1" applyFill="1" applyBorder="1" applyAlignment="1" applyProtection="1">
      <alignment horizontal="left" vertical="center" wrapText="1"/>
      <protection locked="0"/>
    </xf>
    <xf numFmtId="192" fontId="204" fillId="90" borderId="84" xfId="42" applyNumberFormat="1" applyFont="1" applyFill="1" applyBorder="1" applyAlignment="1" applyProtection="1">
      <alignment horizontal="left" vertical="center" wrapText="1"/>
      <protection locked="0"/>
    </xf>
    <xf numFmtId="0" fontId="179" fillId="90" borderId="59" xfId="0" applyFont="1" applyFill="1" applyBorder="1" applyAlignment="1" applyProtection="1">
      <alignment horizontal="left" vertical="center" wrapText="1"/>
      <protection hidden="1"/>
    </xf>
    <xf numFmtId="0" fontId="179" fillId="90" borderId="139" xfId="0" applyFont="1" applyFill="1" applyBorder="1" applyAlignment="1" applyProtection="1">
      <alignment horizontal="left" vertical="center" wrapText="1"/>
      <protection hidden="1"/>
    </xf>
    <xf numFmtId="0" fontId="179" fillId="90" borderId="60" xfId="0" applyFont="1" applyFill="1" applyBorder="1" applyAlignment="1" applyProtection="1">
      <alignment horizontal="left" vertical="center" wrapText="1"/>
      <protection hidden="1"/>
    </xf>
    <xf numFmtId="0" fontId="179" fillId="90" borderId="64" xfId="0" applyFont="1" applyFill="1" applyBorder="1" applyAlignment="1">
      <alignment horizontal="left" vertical="center" shrinkToFit="1"/>
    </xf>
    <xf numFmtId="0" fontId="179" fillId="90" borderId="140" xfId="0" applyFont="1" applyFill="1" applyBorder="1" applyAlignment="1">
      <alignment horizontal="left" vertical="center" shrinkToFit="1"/>
    </xf>
    <xf numFmtId="44" fontId="180" fillId="90" borderId="12" xfId="0" applyNumberFormat="1" applyFont="1" applyFill="1" applyBorder="1" applyAlignment="1" applyProtection="1">
      <alignment horizontal="left" vertical="center" wrapText="1"/>
      <protection hidden="1"/>
    </xf>
    <xf numFmtId="44" fontId="180" fillId="90" borderId="13" xfId="0" applyNumberFormat="1" applyFont="1" applyFill="1" applyBorder="1" applyAlignment="1" applyProtection="1">
      <alignment horizontal="left" vertical="center" wrapText="1"/>
      <protection hidden="1"/>
    </xf>
    <xf numFmtId="44" fontId="180" fillId="90" borderId="61" xfId="0" applyNumberFormat="1" applyFont="1" applyFill="1" applyBorder="1" applyAlignment="1" applyProtection="1">
      <alignment horizontal="left" vertical="center" wrapText="1"/>
      <protection hidden="1"/>
    </xf>
    <xf numFmtId="0" fontId="179" fillId="90" borderId="13" xfId="0" applyFont="1" applyFill="1" applyBorder="1" applyAlignment="1" applyProtection="1">
      <alignment horizontal="left" vertical="center" wrapText="1"/>
      <protection hidden="1"/>
    </xf>
    <xf numFmtId="0" fontId="179" fillId="90" borderId="61" xfId="0" applyFont="1" applyFill="1" applyBorder="1" applyAlignment="1" applyProtection="1">
      <alignment horizontal="left" vertical="center" wrapText="1"/>
      <protection hidden="1"/>
    </xf>
    <xf numFmtId="192" fontId="179" fillId="90" borderId="59" xfId="42" applyNumberFormat="1" applyFont="1" applyFill="1" applyBorder="1" applyAlignment="1" applyProtection="1">
      <alignment horizontal="left" vertical="center" shrinkToFit="1"/>
      <protection locked="0"/>
    </xf>
    <xf numFmtId="192" fontId="179" fillId="90" borderId="136" xfId="42" applyNumberFormat="1" applyFont="1" applyFill="1" applyBorder="1" applyAlignment="1" applyProtection="1">
      <alignment horizontal="left" vertical="center" shrinkToFit="1"/>
      <protection locked="0"/>
    </xf>
    <xf numFmtId="44" fontId="179" fillId="90" borderId="13" xfId="0" applyNumberFormat="1" applyFont="1" applyFill="1" applyBorder="1" applyAlignment="1" applyProtection="1">
      <alignment horizontal="left" vertical="center" wrapText="1"/>
      <protection hidden="1"/>
    </xf>
    <xf numFmtId="44" fontId="179" fillId="90" borderId="61" xfId="0" applyNumberFormat="1" applyFont="1" applyFill="1" applyBorder="1" applyAlignment="1" applyProtection="1">
      <alignment horizontal="left" vertical="center" wrapText="1"/>
      <protection hidden="1"/>
    </xf>
    <xf numFmtId="44" fontId="179" fillId="90" borderId="31" xfId="0" applyNumberFormat="1" applyFont="1" applyFill="1" applyBorder="1" applyAlignment="1" applyProtection="1">
      <alignment horizontal="left" vertical="center" wrapText="1"/>
      <protection hidden="1"/>
    </xf>
    <xf numFmtId="44" fontId="179" fillId="90" borderId="63" xfId="0" applyNumberFormat="1" applyFont="1" applyFill="1" applyBorder="1" applyAlignment="1" applyProtection="1">
      <alignment horizontal="left" vertical="center" wrapText="1"/>
      <protection hidden="1"/>
    </xf>
    <xf numFmtId="192" fontId="179" fillId="90" borderId="15" xfId="42" applyNumberFormat="1" applyFont="1" applyFill="1" applyBorder="1" applyAlignment="1" applyProtection="1">
      <alignment horizontal="left" vertical="center" shrinkToFit="1"/>
      <protection locked="0"/>
    </xf>
    <xf numFmtId="192" fontId="179" fillId="90" borderId="133" xfId="42" applyNumberFormat="1" applyFont="1" applyFill="1" applyBorder="1" applyAlignment="1" applyProtection="1">
      <alignment horizontal="left" vertical="center" shrinkToFit="1"/>
      <protection locked="0"/>
    </xf>
    <xf numFmtId="192" fontId="179" fillId="90" borderId="27" xfId="42" applyNumberFormat="1" applyFont="1" applyFill="1" applyBorder="1" applyAlignment="1" applyProtection="1">
      <alignment horizontal="center" vertical="center" shrinkToFit="1"/>
      <protection locked="0"/>
    </xf>
    <xf numFmtId="192" fontId="179" fillId="90" borderId="137" xfId="42" applyNumberFormat="1" applyFont="1" applyFill="1" applyBorder="1" applyAlignment="1" applyProtection="1">
      <alignment horizontal="center" vertical="center" shrinkToFit="1"/>
      <protection locked="0"/>
    </xf>
    <xf numFmtId="192" fontId="179" fillId="90" borderId="11" xfId="42" applyNumberFormat="1" applyFont="1" applyFill="1" applyBorder="1" applyAlignment="1" applyProtection="1">
      <alignment horizontal="center" vertical="center" shrinkToFit="1"/>
      <protection locked="0"/>
    </xf>
    <xf numFmtId="192" fontId="179" fillId="90" borderId="84" xfId="42" applyNumberFormat="1" applyFont="1" applyFill="1" applyBorder="1" applyAlignment="1" applyProtection="1">
      <alignment horizontal="center" vertical="center" shrinkToFit="1"/>
      <protection locked="0"/>
    </xf>
    <xf numFmtId="44" fontId="205" fillId="90" borderId="13" xfId="0" applyNumberFormat="1" applyFont="1" applyFill="1" applyBorder="1" applyAlignment="1" applyProtection="1">
      <alignment horizontal="left" vertical="center" wrapText="1"/>
      <protection hidden="1"/>
    </xf>
    <xf numFmtId="44" fontId="206" fillId="90" borderId="30" xfId="0" applyNumberFormat="1" applyFont="1" applyFill="1" applyBorder="1" applyAlignment="1" applyProtection="1">
      <alignment horizontal="center" vertical="center" wrapText="1"/>
      <protection hidden="1"/>
    </xf>
    <xf numFmtId="44" fontId="206" fillId="90" borderId="31" xfId="0" applyNumberFormat="1" applyFont="1" applyFill="1" applyBorder="1" applyAlignment="1" applyProtection="1">
      <alignment horizontal="center" vertical="center" wrapText="1"/>
      <protection hidden="1"/>
    </xf>
    <xf numFmtId="44" fontId="157" fillId="90" borderId="31" xfId="0" applyNumberFormat="1" applyFont="1" applyFill="1" applyBorder="1" applyAlignment="1" applyProtection="1">
      <alignment horizontal="left" vertical="center" wrapText="1"/>
      <protection hidden="1"/>
    </xf>
    <xf numFmtId="44" fontId="157" fillId="90" borderId="141" xfId="0" applyNumberFormat="1" applyFont="1" applyFill="1" applyBorder="1" applyAlignment="1" applyProtection="1">
      <alignment horizontal="left" vertical="center" wrapText="1"/>
      <protection hidden="1"/>
    </xf>
    <xf numFmtId="0" fontId="180" fillId="90" borderId="18" xfId="0" applyNumberFormat="1" applyFont="1" applyFill="1" applyBorder="1" applyAlignment="1" applyProtection="1">
      <alignment horizontal="left" vertical="center" wrapText="1"/>
      <protection hidden="1"/>
    </xf>
    <xf numFmtId="0" fontId="180" fillId="90" borderId="22" xfId="0" applyNumberFormat="1" applyFont="1" applyFill="1" applyBorder="1" applyAlignment="1" applyProtection="1">
      <alignment horizontal="left" vertical="center" wrapText="1"/>
      <protection hidden="1"/>
    </xf>
    <xf numFmtId="192" fontId="179" fillId="90" borderId="18" xfId="42" applyNumberFormat="1" applyFont="1" applyFill="1" applyBorder="1" applyAlignment="1" applyProtection="1">
      <alignment horizontal="left" vertical="center" wrapText="1"/>
      <protection locked="0"/>
    </xf>
    <xf numFmtId="192" fontId="179" fillId="90" borderId="142" xfId="42" applyNumberFormat="1" applyFont="1" applyFill="1" applyBorder="1" applyAlignment="1" applyProtection="1">
      <alignment horizontal="left" vertical="center" wrapText="1"/>
      <protection locked="0"/>
    </xf>
    <xf numFmtId="0" fontId="180" fillId="90" borderId="53" xfId="0" applyNumberFormat="1" applyFont="1" applyFill="1" applyBorder="1" applyAlignment="1" applyProtection="1">
      <alignment horizontal="left" vertical="center" wrapText="1"/>
      <protection hidden="1"/>
    </xf>
    <xf numFmtId="0" fontId="180" fillId="90" borderId="72" xfId="0" applyNumberFormat="1" applyFont="1" applyFill="1" applyBorder="1" applyAlignment="1" applyProtection="1">
      <alignment horizontal="left" vertical="center" wrapText="1"/>
      <protection hidden="1"/>
    </xf>
    <xf numFmtId="192" fontId="179" fillId="90" borderId="64" xfId="42" applyNumberFormat="1" applyFont="1" applyFill="1" applyBorder="1" applyAlignment="1" applyProtection="1">
      <alignment horizontal="left" vertical="center" shrinkToFit="1"/>
      <protection locked="0"/>
    </xf>
    <xf numFmtId="192" fontId="179" fillId="90" borderId="140" xfId="42" applyNumberFormat="1" applyFont="1" applyFill="1" applyBorder="1" applyAlignment="1" applyProtection="1">
      <alignment horizontal="left" vertical="center" shrinkToFit="1"/>
      <protection locked="0"/>
    </xf>
    <xf numFmtId="0" fontId="179" fillId="90" borderId="92" xfId="0" applyFont="1" applyFill="1" applyBorder="1" applyAlignment="1" applyProtection="1">
      <alignment horizontal="left" vertical="center" wrapText="1"/>
      <protection hidden="1"/>
    </xf>
    <xf numFmtId="0" fontId="179" fillId="90" borderId="143" xfId="0" applyFont="1" applyFill="1" applyBorder="1" applyAlignment="1" applyProtection="1">
      <alignment horizontal="left" vertical="center" wrapText="1"/>
      <protection hidden="1"/>
    </xf>
    <xf numFmtId="44" fontId="205" fillId="90" borderId="144" xfId="0" applyNumberFormat="1" applyFont="1" applyFill="1" applyBorder="1" applyAlignment="1" applyProtection="1">
      <alignment horizontal="left" vertical="center"/>
      <protection hidden="1"/>
    </xf>
    <xf numFmtId="44" fontId="205" fillId="90" borderId="73" xfId="0" applyNumberFormat="1" applyFont="1" applyFill="1" applyBorder="1" applyAlignment="1" applyProtection="1">
      <alignment horizontal="left" vertical="center"/>
      <protection hidden="1"/>
    </xf>
    <xf numFmtId="44" fontId="205" fillId="90" borderId="145" xfId="0" applyNumberFormat="1" applyFont="1" applyFill="1" applyBorder="1" applyAlignment="1" applyProtection="1">
      <alignment horizontal="left" vertical="center"/>
      <protection hidden="1"/>
    </xf>
    <xf numFmtId="44" fontId="205" fillId="90" borderId="74" xfId="0" applyNumberFormat="1" applyFont="1" applyFill="1" applyBorder="1" applyAlignment="1" applyProtection="1">
      <alignment horizontal="left" vertical="center"/>
      <protection hidden="1"/>
    </xf>
    <xf numFmtId="44" fontId="179" fillId="90" borderId="144" xfId="0" applyNumberFormat="1" applyFont="1" applyFill="1" applyBorder="1" applyAlignment="1" applyProtection="1">
      <alignment horizontal="center" vertical="center" wrapText="1" shrinkToFit="1"/>
      <protection hidden="1"/>
    </xf>
    <xf numFmtId="44" fontId="179" fillId="90" borderId="28" xfId="0" applyNumberFormat="1" applyFont="1" applyFill="1" applyBorder="1" applyAlignment="1" applyProtection="1">
      <alignment horizontal="center" vertical="center" wrapText="1" shrinkToFit="1"/>
      <protection hidden="1"/>
    </xf>
    <xf numFmtId="44" fontId="179" fillId="90" borderId="62" xfId="0" applyNumberFormat="1" applyFont="1" applyFill="1" applyBorder="1" applyAlignment="1" applyProtection="1">
      <alignment horizontal="center" vertical="center" wrapText="1" shrinkToFit="1"/>
      <protection hidden="1"/>
    </xf>
    <xf numFmtId="44" fontId="179" fillId="90" borderId="145" xfId="0" applyNumberFormat="1" applyFont="1" applyFill="1" applyBorder="1" applyAlignment="1" applyProtection="1">
      <alignment horizontal="center" vertical="center" wrapText="1" shrinkToFit="1"/>
      <protection hidden="1"/>
    </xf>
    <xf numFmtId="44" fontId="179" fillId="90" borderId="139" xfId="0" applyNumberFormat="1" applyFont="1" applyFill="1" applyBorder="1" applyAlignment="1" applyProtection="1">
      <alignment horizontal="center" vertical="center" wrapText="1" shrinkToFit="1"/>
      <protection hidden="1"/>
    </xf>
    <xf numFmtId="44" fontId="179" fillId="90" borderId="60" xfId="0" applyNumberFormat="1" applyFont="1" applyFill="1" applyBorder="1" applyAlignment="1" applyProtection="1">
      <alignment horizontal="center" vertical="center" wrapText="1" shrinkToFit="1"/>
      <protection hidden="1"/>
    </xf>
    <xf numFmtId="192" fontId="179" fillId="90" borderId="93" xfId="42" applyNumberFormat="1" applyFont="1" applyFill="1" applyBorder="1" applyAlignment="1" applyProtection="1">
      <alignment horizontal="center" vertical="center" wrapText="1"/>
      <protection hidden="1"/>
    </xf>
    <xf numFmtId="192" fontId="179" fillId="90" borderId="97" xfId="42" applyNumberFormat="1" applyFont="1" applyFill="1" applyBorder="1" applyAlignment="1" applyProtection="1">
      <alignment horizontal="center" vertical="center" wrapText="1"/>
      <protection hidden="1"/>
    </xf>
    <xf numFmtId="44" fontId="179" fillId="90" borderId="49" xfId="0" applyNumberFormat="1" applyFont="1" applyFill="1" applyBorder="1" applyAlignment="1" applyProtection="1">
      <alignment horizontal="left" vertical="center"/>
      <protection hidden="1"/>
    </xf>
    <xf numFmtId="44" fontId="179" fillId="90" borderId="61" xfId="0" applyNumberFormat="1" applyFont="1" applyFill="1" applyBorder="1" applyAlignment="1" applyProtection="1">
      <alignment horizontal="left" vertical="center"/>
      <protection hidden="1"/>
    </xf>
    <xf numFmtId="0" fontId="207" fillId="90" borderId="86" xfId="0" applyFont="1" applyFill="1" applyBorder="1" applyAlignment="1">
      <alignment horizontal="center" vertical="center" wrapText="1"/>
    </xf>
    <xf numFmtId="0" fontId="207" fillId="90" borderId="20" xfId="0" applyFont="1" applyFill="1" applyBorder="1" applyAlignment="1">
      <alignment horizontal="center" vertical="center" wrapText="1"/>
    </xf>
    <xf numFmtId="0" fontId="207" fillId="90" borderId="71" xfId="0" applyFont="1" applyFill="1" applyBorder="1" applyAlignment="1">
      <alignment horizontal="center" vertical="center" wrapText="1"/>
    </xf>
    <xf numFmtId="0" fontId="180" fillId="90" borderId="18" xfId="0" applyFont="1" applyFill="1" applyBorder="1" applyAlignment="1">
      <alignment horizontal="center" vertical="center" wrapText="1"/>
    </xf>
    <xf numFmtId="0" fontId="180" fillId="90" borderId="22" xfId="0" applyFont="1" applyFill="1" applyBorder="1" applyAlignment="1">
      <alignment horizontal="center" vertical="center" wrapText="1"/>
    </xf>
    <xf numFmtId="0" fontId="180" fillId="90" borderId="19" xfId="0" applyFont="1" applyFill="1" applyBorder="1" applyAlignment="1">
      <alignment horizontal="center" vertical="center" wrapText="1"/>
    </xf>
    <xf numFmtId="0" fontId="180" fillId="90" borderId="142" xfId="0" applyFont="1" applyFill="1" applyBorder="1" applyAlignment="1">
      <alignment horizontal="center" vertical="center" wrapText="1"/>
    </xf>
    <xf numFmtId="49" fontId="181" fillId="90" borderId="18" xfId="0" applyNumberFormat="1" applyFont="1" applyFill="1" applyBorder="1" applyAlignment="1" quotePrefix="1">
      <alignment horizontal="center" vertical="center" wrapText="1"/>
    </xf>
    <xf numFmtId="49" fontId="181" fillId="90" borderId="22" xfId="0" applyNumberFormat="1" applyFont="1" applyFill="1" applyBorder="1" applyAlignment="1" quotePrefix="1">
      <alignment horizontal="center" vertical="center" wrapText="1"/>
    </xf>
    <xf numFmtId="49" fontId="181" fillId="90" borderId="19" xfId="0" applyNumberFormat="1" applyFont="1" applyFill="1" applyBorder="1" applyAlignment="1" quotePrefix="1">
      <alignment horizontal="center" vertical="center" wrapText="1"/>
    </xf>
    <xf numFmtId="49" fontId="181" fillId="90" borderId="142" xfId="0" applyNumberFormat="1" applyFont="1" applyFill="1" applyBorder="1" applyAlignment="1" quotePrefix="1">
      <alignment horizontal="center" vertical="center" wrapText="1"/>
    </xf>
    <xf numFmtId="0" fontId="180" fillId="90" borderId="53" xfId="0" applyFont="1" applyFill="1" applyBorder="1" applyAlignment="1" applyProtection="1">
      <alignment horizontal="left" vertical="center" wrapText="1"/>
      <protection hidden="1"/>
    </xf>
    <xf numFmtId="0" fontId="180" fillId="90" borderId="72" xfId="0" applyFont="1" applyFill="1" applyBorder="1" applyAlignment="1" applyProtection="1">
      <alignment horizontal="left" vertical="center" wrapText="1"/>
      <protection hidden="1"/>
    </xf>
    <xf numFmtId="0" fontId="179" fillId="90" borderId="53" xfId="0" applyFont="1" applyFill="1" applyBorder="1" applyAlignment="1">
      <alignment horizontal="center" vertical="center" wrapText="1"/>
    </xf>
    <xf numFmtId="0" fontId="179" fillId="90" borderId="131" xfId="0" applyFont="1" applyFill="1" applyBorder="1" applyAlignment="1">
      <alignment horizontal="center" vertical="center" wrapText="1"/>
    </xf>
    <xf numFmtId="0" fontId="179" fillId="90" borderId="11" xfId="0" applyFont="1" applyFill="1" applyBorder="1" applyAlignment="1">
      <alignment horizontal="center" vertical="center" wrapText="1"/>
    </xf>
    <xf numFmtId="0" fontId="179" fillId="90" borderId="84" xfId="0" applyFont="1" applyFill="1" applyBorder="1" applyAlignment="1">
      <alignment horizontal="center" vertical="center" wrapText="1"/>
    </xf>
    <xf numFmtId="44" fontId="179" fillId="90" borderId="49" xfId="0" applyNumberFormat="1" applyFont="1" applyFill="1" applyBorder="1" applyAlignment="1" applyProtection="1">
      <alignment horizontal="left" vertical="center" wrapText="1"/>
      <protection hidden="1"/>
    </xf>
    <xf numFmtId="44" fontId="179" fillId="90" borderId="45" xfId="0" applyNumberFormat="1" applyFont="1" applyFill="1" applyBorder="1" applyAlignment="1" applyProtection="1">
      <alignment horizontal="left" vertical="center" wrapText="1"/>
      <protection hidden="1"/>
    </xf>
    <xf numFmtId="41" fontId="179" fillId="90" borderId="49" xfId="0" applyNumberFormat="1" applyFont="1" applyFill="1" applyBorder="1" applyAlignment="1" applyProtection="1">
      <alignment horizontal="center" vertical="center" wrapText="1"/>
      <protection hidden="1"/>
    </xf>
    <xf numFmtId="41" fontId="179" fillId="90" borderId="61" xfId="0" applyNumberFormat="1" applyFont="1" applyFill="1" applyBorder="1" applyAlignment="1" applyProtection="1">
      <alignment horizontal="center" vertical="center" wrapText="1"/>
      <protection hidden="1"/>
    </xf>
    <xf numFmtId="44" fontId="205" fillId="90" borderId="49" xfId="0" applyNumberFormat="1" applyFont="1" applyFill="1" applyBorder="1" applyAlignment="1" applyProtection="1">
      <alignment horizontal="left" vertical="center" wrapText="1"/>
      <protection hidden="1"/>
    </xf>
    <xf numFmtId="0" fontId="177" fillId="0" borderId="146" xfId="0" applyFont="1" applyBorder="1" applyAlignment="1">
      <alignment horizontal="center" vertical="center" wrapText="1"/>
    </xf>
    <xf numFmtId="0" fontId="177" fillId="0" borderId="58" xfId="0" applyFont="1" applyBorder="1" applyAlignment="1">
      <alignment horizontal="center" vertical="center" wrapText="1"/>
    </xf>
    <xf numFmtId="0" fontId="177" fillId="0" borderId="147" xfId="0" applyFont="1" applyBorder="1" applyAlignment="1">
      <alignment horizontal="center" vertical="center" wrapText="1"/>
    </xf>
    <xf numFmtId="0" fontId="177" fillId="0" borderId="83" xfId="0" applyFont="1" applyBorder="1" applyAlignment="1">
      <alignment horizontal="center" vertical="center" wrapText="1"/>
    </xf>
    <xf numFmtId="0" fontId="177" fillId="0" borderId="0" xfId="0" applyFont="1" applyBorder="1" applyAlignment="1">
      <alignment horizontal="center" vertical="center" wrapText="1"/>
    </xf>
    <xf numFmtId="0" fontId="177" fillId="0" borderId="84" xfId="0" applyFont="1" applyBorder="1" applyAlignment="1">
      <alignment horizontal="center" vertical="center" wrapText="1"/>
    </xf>
    <xf numFmtId="0" fontId="178" fillId="0" borderId="83" xfId="0" applyFont="1" applyBorder="1" applyAlignment="1">
      <alignment horizontal="center" vertical="center"/>
    </xf>
    <xf numFmtId="0" fontId="178" fillId="0" borderId="0" xfId="0" applyFont="1" applyBorder="1" applyAlignment="1">
      <alignment horizontal="center" vertical="center"/>
    </xf>
    <xf numFmtId="0" fontId="178" fillId="0" borderId="84" xfId="0" applyFont="1" applyBorder="1" applyAlignment="1">
      <alignment horizontal="center" vertical="center"/>
    </xf>
    <xf numFmtId="0" fontId="178" fillId="90" borderId="22" xfId="0" applyFont="1" applyFill="1" applyBorder="1" applyAlignment="1" applyProtection="1">
      <alignment horizontal="left" vertical="center" wrapText="1"/>
      <protection hidden="1"/>
    </xf>
    <xf numFmtId="0" fontId="178" fillId="90" borderId="142" xfId="0" applyFont="1" applyFill="1" applyBorder="1" applyAlignment="1" applyProtection="1">
      <alignment horizontal="left" vertical="center" wrapText="1"/>
      <protection hidden="1"/>
    </xf>
    <xf numFmtId="0" fontId="178" fillId="90" borderId="22" xfId="0" applyFont="1" applyFill="1" applyBorder="1" applyAlignment="1" applyProtection="1">
      <alignment horizontal="left" vertical="center"/>
      <protection hidden="1"/>
    </xf>
    <xf numFmtId="0" fontId="178" fillId="90" borderId="142" xfId="0" applyFont="1" applyFill="1" applyBorder="1" applyAlignment="1" applyProtection="1">
      <alignment horizontal="left" vertical="center"/>
      <protection hidden="1"/>
    </xf>
    <xf numFmtId="0" fontId="208" fillId="90" borderId="85" xfId="0" applyFont="1" applyFill="1" applyBorder="1" applyAlignment="1" applyProtection="1">
      <alignment vertical="center"/>
      <protection hidden="1"/>
    </xf>
    <xf numFmtId="0" fontId="208" fillId="90" borderId="22" xfId="0" applyFont="1" applyFill="1" applyBorder="1" applyAlignment="1" applyProtection="1">
      <alignment vertical="center"/>
      <protection hidden="1"/>
    </xf>
    <xf numFmtId="0" fontId="208" fillId="90" borderId="142" xfId="0" applyFont="1" applyFill="1" applyBorder="1" applyAlignment="1" applyProtection="1">
      <alignment vertical="center"/>
      <protection hidden="1"/>
    </xf>
    <xf numFmtId="0" fontId="171" fillId="161" borderId="68" xfId="0" applyFont="1" applyFill="1" applyBorder="1" applyAlignment="1" applyProtection="1">
      <alignment horizontal="center" wrapText="1"/>
      <protection hidden="1"/>
    </xf>
    <xf numFmtId="0" fontId="171" fillId="162" borderId="20" xfId="0" applyFont="1" applyFill="1" applyBorder="1" applyAlignment="1" applyProtection="1">
      <alignment horizontal="center" wrapText="1"/>
      <protection hidden="1"/>
    </xf>
    <xf numFmtId="0" fontId="171" fillId="163" borderId="67" xfId="0" applyFont="1" applyFill="1" applyBorder="1" applyAlignment="1" applyProtection="1">
      <alignment horizontal="center" wrapText="1"/>
      <protection hidden="1"/>
    </xf>
    <xf numFmtId="0" fontId="0" fillId="164" borderId="113" xfId="0" applyFill="1" applyBorder="1" applyAlignment="1" applyProtection="1">
      <alignment horizontal="center"/>
      <protection hidden="1"/>
    </xf>
    <xf numFmtId="0" fontId="147" fillId="165" borderId="40" xfId="53" applyFill="1" applyBorder="1" applyAlignment="1" applyProtection="1">
      <alignment horizontal="center" vertical="top" wrapText="1"/>
      <protection hidden="1"/>
    </xf>
    <xf numFmtId="0" fontId="0" fillId="166" borderId="40" xfId="0" applyFill="1" applyBorder="1" applyAlignment="1" applyProtection="1">
      <alignment horizontal="center" vertical="top"/>
      <protection hidden="1"/>
    </xf>
    <xf numFmtId="0" fontId="0" fillId="167" borderId="41" xfId="0" applyFill="1" applyBorder="1" applyAlignment="1" applyProtection="1">
      <alignment horizontal="center" vertical="top"/>
      <protection hidden="1"/>
    </xf>
    <xf numFmtId="0" fontId="0" fillId="168" borderId="0" xfId="0" applyFill="1" applyBorder="1" applyAlignment="1" applyProtection="1">
      <alignment horizontal="center" vertical="top"/>
      <protection hidden="1"/>
    </xf>
    <xf numFmtId="0" fontId="0" fillId="169" borderId="16" xfId="0" applyFill="1" applyBorder="1" applyAlignment="1" applyProtection="1">
      <alignment horizontal="center" vertical="top"/>
      <protection hidden="1"/>
    </xf>
    <xf numFmtId="0" fontId="0" fillId="170" borderId="36" xfId="0" applyFill="1" applyBorder="1" applyAlignment="1" applyProtection="1">
      <alignment horizontal="center" vertical="top"/>
      <protection hidden="1"/>
    </xf>
    <xf numFmtId="0" fontId="0" fillId="171" borderId="37" xfId="0" applyFill="1" applyBorder="1" applyAlignment="1" applyProtection="1">
      <alignment horizontal="center" vertical="top"/>
      <protection hidden="1"/>
    </xf>
    <xf numFmtId="0" fontId="0" fillId="172" borderId="20" xfId="0" applyFill="1" applyBorder="1" applyAlignment="1" applyProtection="1">
      <alignment horizontal="center"/>
      <protection hidden="1"/>
    </xf>
    <xf numFmtId="0" fontId="0" fillId="173" borderId="18" xfId="0" applyFill="1" applyBorder="1" applyAlignment="1" applyProtection="1">
      <alignment horizontal="center"/>
      <protection hidden="1"/>
    </xf>
    <xf numFmtId="0" fontId="0" fillId="174" borderId="20" xfId="0" applyFill="1" applyBorder="1" applyAlignment="1" applyProtection="1">
      <alignment horizontal="left"/>
      <protection hidden="1"/>
    </xf>
    <xf numFmtId="0" fontId="209" fillId="175" borderId="11" xfId="0" applyFont="1" applyFill="1" applyBorder="1" applyAlignment="1" applyProtection="1">
      <alignment horizontal="center"/>
      <protection hidden="1"/>
    </xf>
    <xf numFmtId="0" fontId="209" fillId="176" borderId="0" xfId="0" applyFont="1" applyFill="1" applyBorder="1" applyAlignment="1" applyProtection="1">
      <alignment horizontal="center"/>
      <protection hidden="1"/>
    </xf>
    <xf numFmtId="0" fontId="210" fillId="177" borderId="11" xfId="0" applyFont="1" applyFill="1" applyBorder="1" applyAlignment="1" applyProtection="1">
      <alignment horizontal="center" vertical="center"/>
      <protection hidden="1"/>
    </xf>
    <xf numFmtId="0" fontId="210" fillId="178" borderId="0" xfId="0" applyFont="1" applyFill="1" applyBorder="1" applyAlignment="1" applyProtection="1">
      <alignment horizontal="center" vertical="center"/>
      <protection hidden="1"/>
    </xf>
    <xf numFmtId="0" fontId="0" fillId="179" borderId="36" xfId="0" applyFill="1" applyBorder="1" applyAlignment="1" applyProtection="1">
      <alignment horizontal="center"/>
      <protection hidden="1"/>
    </xf>
    <xf numFmtId="0" fontId="210" fillId="0" borderId="148" xfId="0" applyFont="1" applyBorder="1" applyAlignment="1" applyProtection="1">
      <alignment horizontal="center" vertical="center"/>
      <protection hidden="1"/>
    </xf>
    <xf numFmtId="0" fontId="210" fillId="0" borderId="117" xfId="0" applyFont="1" applyBorder="1" applyAlignment="1" applyProtection="1">
      <alignment horizontal="center" vertical="center"/>
      <protection hidden="1"/>
    </xf>
    <xf numFmtId="0" fontId="210" fillId="0" borderId="118" xfId="0" applyFont="1" applyBorder="1" applyAlignment="1" applyProtection="1">
      <alignment horizontal="center" vertical="center"/>
      <protection hidden="1"/>
    </xf>
    <xf numFmtId="0" fontId="210" fillId="180" borderId="68" xfId="0" applyFont="1" applyFill="1" applyBorder="1" applyAlignment="1" applyProtection="1">
      <alignment horizontal="center" vertical="center"/>
      <protection hidden="1"/>
    </xf>
    <xf numFmtId="0" fontId="210" fillId="181" borderId="20" xfId="0" applyFont="1" applyFill="1" applyBorder="1" applyAlignment="1" applyProtection="1">
      <alignment horizontal="center" vertical="center"/>
      <protection hidden="1"/>
    </xf>
    <xf numFmtId="0" fontId="210" fillId="182" borderId="67" xfId="0" applyFont="1" applyFill="1" applyBorder="1" applyAlignment="1" applyProtection="1">
      <alignment horizontal="center" vertical="center"/>
      <protection hidden="1"/>
    </xf>
    <xf numFmtId="0" fontId="147" fillId="2" borderId="18" xfId="53" applyFill="1" applyBorder="1" applyAlignment="1" applyProtection="1">
      <alignment horizontal="center"/>
      <protection hidden="1"/>
    </xf>
    <xf numFmtId="0" fontId="147" fillId="2" borderId="22" xfId="53" applyFill="1" applyBorder="1" applyAlignment="1" applyProtection="1">
      <alignment horizontal="center"/>
      <protection hidden="1"/>
    </xf>
    <xf numFmtId="0" fontId="147" fillId="2" borderId="24" xfId="53" applyFill="1" applyBorder="1" applyAlignment="1" applyProtection="1">
      <alignment horizontal="center"/>
      <protection hidden="1"/>
    </xf>
    <xf numFmtId="0" fontId="0" fillId="0" borderId="23" xfId="0" applyBorder="1" applyAlignment="1" applyProtection="1">
      <alignment horizontal="center" wrapText="1"/>
      <protection hidden="1"/>
    </xf>
    <xf numFmtId="0" fontId="0" fillId="0" borderId="22" xfId="0" applyBorder="1" applyAlignment="1" applyProtection="1">
      <alignment horizontal="center" wrapText="1"/>
      <protection hidden="1"/>
    </xf>
    <xf numFmtId="0" fontId="0" fillId="0" borderId="24" xfId="0" applyBorder="1" applyAlignment="1" applyProtection="1">
      <alignment horizontal="center" wrapText="1"/>
      <protection hidden="1"/>
    </xf>
    <xf numFmtId="0" fontId="155" fillId="0" borderId="23" xfId="0" applyFont="1" applyBorder="1" applyAlignment="1" applyProtection="1">
      <alignment horizontal="center"/>
      <protection hidden="1"/>
    </xf>
    <xf numFmtId="0" fontId="155" fillId="0" borderId="22" xfId="0" applyFont="1" applyBorder="1" applyAlignment="1" applyProtection="1">
      <alignment horizontal="center"/>
      <protection hidden="1"/>
    </xf>
    <xf numFmtId="0" fontId="155" fillId="0" borderId="24" xfId="0" applyFont="1" applyBorder="1" applyAlignment="1" applyProtection="1">
      <alignment horizontal="center"/>
      <protection hidden="1"/>
    </xf>
    <xf numFmtId="0" fontId="155" fillId="0" borderId="149" xfId="0" applyFont="1" applyBorder="1" applyAlignment="1" applyProtection="1">
      <alignment horizontal="center"/>
      <protection hidden="1"/>
    </xf>
    <xf numFmtId="0" fontId="155" fillId="0" borderId="150" xfId="0" applyFont="1" applyBorder="1" applyAlignment="1" applyProtection="1">
      <alignment horizontal="center"/>
      <protection hidden="1"/>
    </xf>
    <xf numFmtId="0" fontId="155" fillId="0" borderId="151" xfId="0" applyFont="1" applyBorder="1" applyAlignment="1" applyProtection="1">
      <alignment horizontal="center"/>
      <protection hidden="1"/>
    </xf>
    <xf numFmtId="0" fontId="0" fillId="183" borderId="115" xfId="0" applyFill="1" applyBorder="1" applyAlignment="1" applyProtection="1">
      <alignment horizontal="center"/>
      <protection hidden="1"/>
    </xf>
    <xf numFmtId="0" fontId="0" fillId="184" borderId="116" xfId="0" applyFill="1" applyBorder="1" applyAlignment="1" applyProtection="1">
      <alignment horizontal="center"/>
      <protection hidden="1"/>
    </xf>
    <xf numFmtId="0" fontId="0" fillId="185" borderId="70" xfId="0" applyFill="1" applyBorder="1" applyAlignment="1" applyProtection="1">
      <alignment horizontal="center"/>
      <protection hidden="1"/>
    </xf>
    <xf numFmtId="0" fontId="0" fillId="186" borderId="152" xfId="0" applyFill="1" applyBorder="1" applyAlignment="1" applyProtection="1">
      <alignment horizont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s>
</file>

<file path=xl/drawings/_rels/drawing10.xml.rels><?xml version="1.0" encoding="utf-8" standalone="yes"?><Relationships xmlns="http://schemas.openxmlformats.org/package/2006/relationships"><Relationship Id="rId1" Type="http://schemas.openxmlformats.org/officeDocument/2006/relationships/hyperlink" Target="#DATA!A1"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DATA!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Form-16(1)'!A1" /><Relationship Id="rId3" Type="http://schemas.openxmlformats.org/officeDocument/2006/relationships/hyperlink" Target="#'Form-16(2)'!A1" /><Relationship Id="rId4" Type="http://schemas.openxmlformats.org/officeDocument/2006/relationships/hyperlink" Target="#'Rent Sheet'!Print_Area" /><Relationship Id="rId5" Type="http://schemas.openxmlformats.org/officeDocument/2006/relationships/hyperlink" Target="#'Salary Details'!A1" /><Relationship Id="rId6" Type="http://schemas.openxmlformats.org/officeDocument/2006/relationships/hyperlink" Target="#'Income Tax Form'!A1" /><Relationship Id="rId7" Type="http://schemas.openxmlformats.org/officeDocument/2006/relationships/hyperlink" Target="#Form22B!A1" /><Relationship Id="rId8" Type="http://schemas.openxmlformats.org/officeDocument/2006/relationships/image" Target="../media/image5.jpeg" /><Relationship Id="rId9"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Income Tax Form'!A1"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Salary Details'!A1" /></Relationships>
</file>

<file path=xl/drawings/_rels/drawing5.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Income Tax Form'!A1" /></Relationships>
</file>

<file path=xl/drawings/_rels/drawing6.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Salary Details'!A1" /></Relationships>
</file>

<file path=xl/drawings/_rels/drawing7.xml.rels><?xml version="1.0" encoding="utf-8" standalone="yes"?><Relationships xmlns="http://schemas.openxmlformats.org/package/2006/relationships"><Relationship Id="rId1" Type="http://schemas.openxmlformats.org/officeDocument/2006/relationships/hyperlink" Target="#'Salary Details'!A1" /><Relationship Id="rId2" Type="http://schemas.openxmlformats.org/officeDocument/2006/relationships/hyperlink" Target="#DATA!A1" /><Relationship Id="rId3" Type="http://schemas.openxmlformats.org/officeDocument/2006/relationships/hyperlink" Target="#'Income Tax Form'!A1" /><Relationship Id="rId4" Type="http://schemas.openxmlformats.org/officeDocument/2006/relationships/hyperlink" Target="#'Form-16(2)'!A1" /></Relationships>
</file>

<file path=xl/drawings/_rels/drawing8.xml.rels><?xml version="1.0" encoding="utf-8" standalone="yes"?><Relationships xmlns="http://schemas.openxmlformats.org/package/2006/relationships"><Relationship Id="rId1" Type="http://schemas.openxmlformats.org/officeDocument/2006/relationships/hyperlink" Target="#'Salary Details'!A1" /><Relationship Id="rId2" Type="http://schemas.openxmlformats.org/officeDocument/2006/relationships/hyperlink" Target="#DATA!A1" /><Relationship Id="rId3" Type="http://schemas.openxmlformats.org/officeDocument/2006/relationships/hyperlink" Target="#'Income Tax Form'!A1" /><Relationship Id="rId4" Type="http://schemas.openxmlformats.org/officeDocument/2006/relationships/hyperlink" Target="#'Form-16(1)'!A1" /></Relationships>
</file>

<file path=xl/drawings/_rels/drawing9.xml.rels><?xml version="1.0" encoding="utf-8" standalone="yes"?><Relationships xmlns="http://schemas.openxmlformats.org/package/2006/relationships"><Relationship Id="rId1"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1</xdr:row>
      <xdr:rowOff>381000</xdr:rowOff>
    </xdr:from>
    <xdr:to>
      <xdr:col>16</xdr:col>
      <xdr:colOff>9525</xdr:colOff>
      <xdr:row>3</xdr:row>
      <xdr:rowOff>38100</xdr:rowOff>
    </xdr:to>
    <xdr:sp>
      <xdr:nvSpPr>
        <xdr:cNvPr id="1" name="Rounded Rectangle 1">
          <a:hlinkClick r:id="rId1"/>
        </xdr:cNvPr>
        <xdr:cNvSpPr>
          <a:spLocks/>
        </xdr:cNvSpPr>
      </xdr:nvSpPr>
      <xdr:spPr>
        <a:xfrm>
          <a:off x="8143875" y="542925"/>
          <a:ext cx="1152525" cy="43815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Data Sheet</a:t>
          </a:r>
        </a:p>
      </xdr:txBody>
    </xdr:sp>
    <xdr:clientData/>
  </xdr:twoCellAnchor>
  <xdr:twoCellAnchor>
    <xdr:from>
      <xdr:col>12</xdr:col>
      <xdr:colOff>314325</xdr:colOff>
      <xdr:row>1</xdr:row>
      <xdr:rowOff>314325</xdr:rowOff>
    </xdr:from>
    <xdr:to>
      <xdr:col>14</xdr:col>
      <xdr:colOff>66675</xdr:colOff>
      <xdr:row>3</xdr:row>
      <xdr:rowOff>85725</xdr:rowOff>
    </xdr:to>
    <xdr:sp>
      <xdr:nvSpPr>
        <xdr:cNvPr id="2" name="Right Arrow 2"/>
        <xdr:cNvSpPr>
          <a:spLocks/>
        </xdr:cNvSpPr>
      </xdr:nvSpPr>
      <xdr:spPr>
        <a:xfrm>
          <a:off x="7162800" y="476250"/>
          <a:ext cx="971550" cy="552450"/>
        </a:xfrm>
        <a:prstGeom prst="rightArrow">
          <a:avLst>
            <a:gd name="adj" fmla="val 2523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533400</xdr:colOff>
      <xdr:row>15</xdr:row>
      <xdr:rowOff>123825</xdr:rowOff>
    </xdr:from>
    <xdr:to>
      <xdr:col>15</xdr:col>
      <xdr:colOff>581025</xdr:colOff>
      <xdr:row>15</xdr:row>
      <xdr:rowOff>561975</xdr:rowOff>
    </xdr:to>
    <xdr:sp>
      <xdr:nvSpPr>
        <xdr:cNvPr id="3" name="Rounded Rectangle 3">
          <a:hlinkClick r:id="rId2"/>
        </xdr:cNvPr>
        <xdr:cNvSpPr>
          <a:spLocks/>
        </xdr:cNvSpPr>
      </xdr:nvSpPr>
      <xdr:spPr>
        <a:xfrm>
          <a:off x="7991475" y="5619750"/>
          <a:ext cx="1266825" cy="43815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Data Sheet</a:t>
          </a:r>
        </a:p>
      </xdr:txBody>
    </xdr:sp>
    <xdr:clientData/>
  </xdr:twoCellAnchor>
  <xdr:twoCellAnchor>
    <xdr:from>
      <xdr:col>13</xdr:col>
      <xdr:colOff>228600</xdr:colOff>
      <xdr:row>20</xdr:row>
      <xdr:rowOff>1323975</xdr:rowOff>
    </xdr:from>
    <xdr:to>
      <xdr:col>15</xdr:col>
      <xdr:colOff>400050</xdr:colOff>
      <xdr:row>21</xdr:row>
      <xdr:rowOff>323850</xdr:rowOff>
    </xdr:to>
    <xdr:sp>
      <xdr:nvSpPr>
        <xdr:cNvPr id="4" name="Rounded Rectangle 4">
          <a:hlinkClick r:id="rId3"/>
        </xdr:cNvPr>
        <xdr:cNvSpPr>
          <a:spLocks/>
        </xdr:cNvSpPr>
      </xdr:nvSpPr>
      <xdr:spPr>
        <a:xfrm>
          <a:off x="7686675" y="10572750"/>
          <a:ext cx="1390650" cy="43815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Data Sheet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3</xdr:row>
      <xdr:rowOff>9525</xdr:rowOff>
    </xdr:from>
    <xdr:to>
      <xdr:col>11</xdr:col>
      <xdr:colOff>257175</xdr:colOff>
      <xdr:row>3</xdr:row>
      <xdr:rowOff>285750</xdr:rowOff>
    </xdr:to>
    <xdr:sp>
      <xdr:nvSpPr>
        <xdr:cNvPr id="1" name="Rounded Rectangle 1">
          <a:hlinkClick r:id="rId1"/>
        </xdr:cNvPr>
        <xdr:cNvSpPr>
          <a:spLocks/>
        </xdr:cNvSpPr>
      </xdr:nvSpPr>
      <xdr:spPr>
        <a:xfrm>
          <a:off x="6057900" y="733425"/>
          <a:ext cx="904875" cy="276225"/>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9</xdr:col>
      <xdr:colOff>561975</xdr:colOff>
      <xdr:row>3</xdr:row>
      <xdr:rowOff>523875</xdr:rowOff>
    </xdr:from>
    <xdr:to>
      <xdr:col>11</xdr:col>
      <xdr:colOff>314325</xdr:colOff>
      <xdr:row>3</xdr:row>
      <xdr:rowOff>800100</xdr:rowOff>
    </xdr:to>
    <xdr:sp macro="[0]!Sheet1.MyPrintrent1">
      <xdr:nvSpPr>
        <xdr:cNvPr id="2" name="Rounded Rectangle 2"/>
        <xdr:cNvSpPr>
          <a:spLocks/>
        </xdr:cNvSpPr>
      </xdr:nvSpPr>
      <xdr:spPr>
        <a:xfrm>
          <a:off x="6048375" y="1247775"/>
          <a:ext cx="971550" cy="2667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28575</xdr:rowOff>
    </xdr:from>
    <xdr:to>
      <xdr:col>6</xdr:col>
      <xdr:colOff>342900</xdr:colOff>
      <xdr:row>3</xdr:row>
      <xdr:rowOff>742950</xdr:rowOff>
    </xdr:to>
    <xdr:pic>
      <xdr:nvPicPr>
        <xdr:cNvPr id="1" name="Picture 1"/>
        <xdr:cNvPicPr preferRelativeResize="1">
          <a:picLocks noChangeAspect="1"/>
        </xdr:cNvPicPr>
      </xdr:nvPicPr>
      <xdr:blipFill>
        <a:blip r:embed="rId1"/>
        <a:stretch>
          <a:fillRect/>
        </a:stretch>
      </xdr:blipFill>
      <xdr:spPr>
        <a:xfrm>
          <a:off x="47625" y="800100"/>
          <a:ext cx="2733675" cy="714375"/>
        </a:xfrm>
        <a:prstGeom prst="rect">
          <a:avLst/>
        </a:prstGeom>
        <a:noFill/>
        <a:ln w="9525" cmpd="sng">
          <a:noFill/>
        </a:ln>
      </xdr:spPr>
    </xdr:pic>
    <xdr:clientData/>
  </xdr:twoCellAnchor>
  <xdr:twoCellAnchor>
    <xdr:from>
      <xdr:col>15</xdr:col>
      <xdr:colOff>342900</xdr:colOff>
      <xdr:row>5</xdr:row>
      <xdr:rowOff>209550</xdr:rowOff>
    </xdr:from>
    <xdr:to>
      <xdr:col>18</xdr:col>
      <xdr:colOff>190500</xdr:colOff>
      <xdr:row>6</xdr:row>
      <xdr:rowOff>47625</xdr:rowOff>
    </xdr:to>
    <xdr:sp>
      <xdr:nvSpPr>
        <xdr:cNvPr id="2" name="Rounded Rectangle 15"/>
        <xdr:cNvSpPr>
          <a:spLocks/>
        </xdr:cNvSpPr>
      </xdr:nvSpPr>
      <xdr:spPr>
        <a:xfrm>
          <a:off x="6562725" y="2143125"/>
          <a:ext cx="904875" cy="304800"/>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500" b="0" i="0" u="none" baseline="0">
              <a:solidFill>
                <a:srgbClr val="333300"/>
              </a:solidFill>
              <a:latin typeface="Calibri"/>
              <a:ea typeface="Calibri"/>
              <a:cs typeface="Calibri"/>
            </a:rPr>
            <a:t>PRINT DA</a:t>
          </a:r>
          <a:r>
            <a:rPr lang="en-US" cap="none" sz="1500" b="0" i="0" u="none" baseline="0">
              <a:solidFill>
                <a:srgbClr val="333300"/>
              </a:solidFill>
              <a:latin typeface="Calibri"/>
              <a:ea typeface="Calibri"/>
              <a:cs typeface="Calibri"/>
            </a:rPr>
            <a:t> TABLE</a:t>
          </a:r>
        </a:p>
      </xdr:txBody>
    </xdr:sp>
    <xdr:clientData/>
  </xdr:twoCellAnchor>
  <xdr:twoCellAnchor>
    <xdr:from>
      <xdr:col>5</xdr:col>
      <xdr:colOff>238125</xdr:colOff>
      <xdr:row>2</xdr:row>
      <xdr:rowOff>142875</xdr:rowOff>
    </xdr:from>
    <xdr:to>
      <xdr:col>6</xdr:col>
      <xdr:colOff>352425</xdr:colOff>
      <xdr:row>2</xdr:row>
      <xdr:rowOff>228600</xdr:rowOff>
    </xdr:to>
    <xdr:sp>
      <xdr:nvSpPr>
        <xdr:cNvPr id="3" name="Right Arrow 16"/>
        <xdr:cNvSpPr>
          <a:spLocks/>
        </xdr:cNvSpPr>
      </xdr:nvSpPr>
      <xdr:spPr>
        <a:xfrm>
          <a:off x="2200275" y="523875"/>
          <a:ext cx="590550" cy="85725"/>
        </a:xfrm>
        <a:prstGeom prst="rightArrow">
          <a:avLst>
            <a:gd name="adj" fmla="val 42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xdr:row>
      <xdr:rowOff>0</xdr:rowOff>
    </xdr:from>
    <xdr:to>
      <xdr:col>18</xdr:col>
      <xdr:colOff>152400</xdr:colOff>
      <xdr:row>4</xdr:row>
      <xdr:rowOff>266700</xdr:rowOff>
    </xdr:to>
    <xdr:sp>
      <xdr:nvSpPr>
        <xdr:cNvPr id="4" name="Rounded Rectangle 17">
          <a:hlinkClick r:id="rId2"/>
        </xdr:cNvPr>
        <xdr:cNvSpPr>
          <a:spLocks/>
        </xdr:cNvSpPr>
      </xdr:nvSpPr>
      <xdr:spPr>
        <a:xfrm>
          <a:off x="6572250" y="151447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133350</xdr:colOff>
      <xdr:row>0</xdr:row>
      <xdr:rowOff>57150</xdr:rowOff>
    </xdr:from>
    <xdr:to>
      <xdr:col>58</xdr:col>
      <xdr:colOff>266700</xdr:colOff>
      <xdr:row>4</xdr:row>
      <xdr:rowOff>28575</xdr:rowOff>
    </xdr:to>
    <xdr:sp>
      <xdr:nvSpPr>
        <xdr:cNvPr id="1" name="Rectangle 13"/>
        <xdr:cNvSpPr>
          <a:spLocks/>
        </xdr:cNvSpPr>
      </xdr:nvSpPr>
      <xdr:spPr>
        <a:xfrm>
          <a:off x="8562975" y="57150"/>
          <a:ext cx="2228850" cy="1247775"/>
        </a:xfrm>
        <a:prstGeom prst="rect">
          <a:avLst/>
        </a:prstGeom>
        <a:blipFill>
          <a:blip r:embed="rId8"/>
          <a:srcRect/>
          <a:stretch>
            <a:fillRect/>
          </a:stretch>
        </a:blipFill>
        <a:ln w="25400" cmpd="sng">
          <a:solidFill>
            <a:srgbClr val="93CD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238125</xdr:colOff>
      <xdr:row>0</xdr:row>
      <xdr:rowOff>171450</xdr:rowOff>
    </xdr:from>
    <xdr:to>
      <xdr:col>52</xdr:col>
      <xdr:colOff>0</xdr:colOff>
      <xdr:row>1</xdr:row>
      <xdr:rowOff>400050</xdr:rowOff>
    </xdr:to>
    <xdr:sp>
      <xdr:nvSpPr>
        <xdr:cNvPr id="2" name="Rounded Rectangle 3"/>
        <xdr:cNvSpPr>
          <a:spLocks/>
        </xdr:cNvSpPr>
      </xdr:nvSpPr>
      <xdr:spPr>
        <a:xfrm>
          <a:off x="238125" y="171450"/>
          <a:ext cx="8001000" cy="457200"/>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l">
            <a:defRPr/>
          </a:pPr>
          <a:r>
            <a:rPr lang="en-US" cap="none" sz="2500" b="0" i="0" u="none" baseline="0">
              <a:solidFill>
                <a:srgbClr val="FFFFFF"/>
              </a:solidFill>
            </a:rPr>
            <a:t>INCOME TAX RETURNS FY 2016-17 (</a:t>
          </a:r>
          <a:r>
            <a:rPr lang="en-US" cap="none" sz="2500" b="0" i="0" u="none" baseline="0">
              <a:solidFill>
                <a:srgbClr val="339966"/>
              </a:solidFill>
            </a:rPr>
            <a:t>AY 2017-18</a:t>
          </a:r>
          <a:r>
            <a:rPr lang="en-US" cap="none" sz="2500" b="0" i="0" u="none" baseline="0">
              <a:solidFill>
                <a:srgbClr val="FFFFFF"/>
              </a:solidFill>
            </a:rPr>
            <a:t>)</a:t>
          </a:r>
          <a:r>
            <a:rPr lang="en-US" cap="none" sz="2500" b="0" i="0" u="none" baseline="0">
              <a:solidFill>
                <a:srgbClr val="FFFFFF"/>
              </a:solidFill>
            </a:rPr>
            <a:t>
</a:t>
          </a:r>
        </a:p>
      </xdr:txBody>
    </xdr:sp>
    <xdr:clientData/>
  </xdr:twoCellAnchor>
  <xdr:twoCellAnchor>
    <xdr:from>
      <xdr:col>53</xdr:col>
      <xdr:colOff>323850</xdr:colOff>
      <xdr:row>13</xdr:row>
      <xdr:rowOff>190500</xdr:rowOff>
    </xdr:from>
    <xdr:to>
      <xdr:col>58</xdr:col>
      <xdr:colOff>123825</xdr:colOff>
      <xdr:row>21</xdr:row>
      <xdr:rowOff>104775</xdr:rowOff>
    </xdr:to>
    <xdr:grpSp>
      <xdr:nvGrpSpPr>
        <xdr:cNvPr id="3" name="Group 9"/>
        <xdr:cNvGrpSpPr>
          <a:grpSpLocks/>
        </xdr:cNvGrpSpPr>
      </xdr:nvGrpSpPr>
      <xdr:grpSpPr>
        <a:xfrm>
          <a:off x="8753475" y="4152900"/>
          <a:ext cx="1895475" cy="2409825"/>
          <a:chOff x="8753475" y="3609975"/>
          <a:chExt cx="1902333" cy="2412492"/>
        </a:xfrm>
        <a:solidFill>
          <a:srgbClr val="FFFFFF"/>
        </a:solidFill>
      </xdr:grpSpPr>
      <xdr:sp>
        <xdr:nvSpPr>
          <xdr:cNvPr id="4" name="Rectangle 5"/>
          <xdr:cNvSpPr>
            <a:spLocks/>
          </xdr:cNvSpPr>
        </xdr:nvSpPr>
        <xdr:spPr>
          <a:xfrm>
            <a:off x="8753475" y="3609975"/>
            <a:ext cx="1828618" cy="2333483"/>
          </a:xfrm>
          <a:prstGeom prst="rect">
            <a:avLst/>
          </a:prstGeom>
          <a:blipFill>
            <a:blip r:embed="rId9"/>
            <a:srcRect/>
            <a:stretch>
              <a:fillRect/>
            </a:stretch>
          </a:blipFill>
          <a:ln w="57150" cmpd="sng">
            <a:solidFill>
              <a:srgbClr val="FAC09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5" name="Picture 1"/>
          <xdr:cNvPicPr preferRelativeResize="1">
            <a:picLocks noChangeAspect="1"/>
          </xdr:cNvPicPr>
        </xdr:nvPicPr>
        <xdr:blipFill>
          <a:blip r:embed="rId1"/>
          <a:stretch>
            <a:fillRect/>
          </a:stretch>
        </xdr:blipFill>
        <xdr:spPr>
          <a:xfrm>
            <a:off x="8753475" y="3566551"/>
            <a:ext cx="1932770" cy="2456520"/>
          </a:xfrm>
          <a:prstGeom prst="rect">
            <a:avLst/>
          </a:prstGeom>
          <a:noFill/>
          <a:ln w="9525" cmpd="sng">
            <a:noFill/>
          </a:ln>
        </xdr:spPr>
      </xdr:pic>
    </xdr:grpSp>
    <xdr:clientData/>
  </xdr:twoCellAnchor>
  <xdr:twoCellAnchor>
    <xdr:from>
      <xdr:col>53</xdr:col>
      <xdr:colOff>104775</xdr:colOff>
      <xdr:row>19</xdr:row>
      <xdr:rowOff>95250</xdr:rowOff>
    </xdr:from>
    <xdr:to>
      <xdr:col>58</xdr:col>
      <xdr:colOff>323850</xdr:colOff>
      <xdr:row>24</xdr:row>
      <xdr:rowOff>180975</xdr:rowOff>
    </xdr:to>
    <xdr:sp>
      <xdr:nvSpPr>
        <xdr:cNvPr id="6" name="Rounded Rectangle 2"/>
        <xdr:cNvSpPr>
          <a:spLocks/>
        </xdr:cNvSpPr>
      </xdr:nvSpPr>
      <xdr:spPr>
        <a:xfrm>
          <a:off x="8534400" y="5943600"/>
          <a:ext cx="2314575" cy="15240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500" b="1" i="0" u="none" baseline="0">
              <a:solidFill>
                <a:srgbClr val="000000"/>
              </a:solidFill>
              <a:latin typeface="Calibri"/>
              <a:ea typeface="Calibri"/>
              <a:cs typeface="Calibri"/>
            </a:rPr>
            <a:t>Prepared by                            </a:t>
          </a:r>
          <a:r>
            <a:rPr lang="en-US" cap="none" sz="1500" b="1" i="0" u="none" baseline="0">
              <a:solidFill>
                <a:srgbClr val="800000"/>
              </a:solidFill>
              <a:latin typeface="Calibri"/>
              <a:ea typeface="Calibri"/>
              <a:cs typeface="Calibri"/>
            </a:rPr>
            <a:t>S.SESHADRI.</a:t>
          </a:r>
          <a:r>
            <a:rPr lang="en-US" cap="none" sz="1000" b="1" i="0" u="none" baseline="0">
              <a:solidFill>
                <a:srgbClr val="800000"/>
              </a:solidFill>
              <a:latin typeface="Calibri"/>
              <a:ea typeface="Calibri"/>
              <a:cs typeface="Calibri"/>
            </a:rPr>
            <a:t>M.Sc.,B.Ed</a:t>
          </a:r>
          <a:r>
            <a:rPr lang="en-US" cap="none" sz="1500" b="1" i="0" u="none" baseline="0">
              <a:solidFill>
                <a:srgbClr val="800000"/>
              </a:solidFill>
              <a:latin typeface="Calibri"/>
              <a:ea typeface="Calibri"/>
              <a:cs typeface="Calibri"/>
            </a:rPr>
            <a:t>.,
</a:t>
          </a:r>
          <a:r>
            <a:rPr lang="en-US" cap="none" sz="1200" b="1" i="0" u="none" baseline="0">
              <a:solidFill>
                <a:srgbClr val="000000"/>
              </a:solidFill>
              <a:latin typeface="Calibri"/>
              <a:ea typeface="Calibri"/>
              <a:cs typeface="Calibri"/>
            </a:rPr>
            <a:t>School</a:t>
          </a:r>
          <a:r>
            <a:rPr lang="en-US" cap="none" sz="1200" b="1" i="0" u="none" baseline="0">
              <a:solidFill>
                <a:srgbClr val="000000"/>
              </a:solidFill>
              <a:latin typeface="Calibri"/>
              <a:ea typeface="Calibri"/>
              <a:cs typeface="Calibri"/>
            </a:rPr>
            <a:t> Asst Maths,
</a:t>
          </a:r>
          <a:r>
            <a:rPr lang="en-US" cap="none" sz="1200" b="1" i="0" u="none" baseline="0">
              <a:solidFill>
                <a:srgbClr val="000000"/>
              </a:solidFill>
              <a:latin typeface="Calibri"/>
              <a:ea typeface="Calibri"/>
              <a:cs typeface="Calibri"/>
            </a:rPr>
            <a:t>Z.P.High School,
</a:t>
          </a:r>
          <a:r>
            <a:rPr lang="en-US" cap="none" sz="1200" b="1" i="0" u="none" baseline="0">
              <a:solidFill>
                <a:srgbClr val="000000"/>
              </a:solidFill>
              <a:latin typeface="Calibri"/>
              <a:ea typeface="Calibri"/>
              <a:cs typeface="Calibri"/>
            </a:rPr>
            <a:t> Thugundram,
</a:t>
          </a:r>
          <a:r>
            <a:rPr lang="en-US" cap="none" sz="1200" b="1" i="0" u="none" baseline="0">
              <a:solidFill>
                <a:srgbClr val="000000"/>
              </a:solidFill>
              <a:latin typeface="Calibri"/>
              <a:ea typeface="Calibri"/>
              <a:cs typeface="Calibri"/>
            </a:rPr>
            <a:t>G.D Nellore.
</a:t>
          </a:r>
          <a:r>
            <a:rPr lang="en-US" cap="none" sz="1200" b="1" i="0" u="none" baseline="0">
              <a:solidFill>
                <a:srgbClr val="000000"/>
              </a:solidFill>
              <a:latin typeface="Calibri"/>
              <a:ea typeface="Calibri"/>
              <a:cs typeface="Calibri"/>
            </a:rPr>
            <a:t>Ph:9492070567
</a:t>
          </a:r>
          <a:r>
            <a:rPr lang="en-US" cap="none" sz="1200" b="1" i="0" u="none" baseline="0">
              <a:solidFill>
                <a:srgbClr val="000000"/>
              </a:solidFill>
              <a:latin typeface="Calibri"/>
              <a:ea typeface="Calibri"/>
              <a:cs typeface="Calibri"/>
            </a:rPr>
            <a:t>mail:sesadri@gmail.com</a:t>
          </a:r>
        </a:p>
      </xdr:txBody>
    </xdr:sp>
    <xdr:clientData/>
  </xdr:twoCellAnchor>
  <xdr:twoCellAnchor>
    <xdr:from>
      <xdr:col>53</xdr:col>
      <xdr:colOff>209550</xdr:colOff>
      <xdr:row>1</xdr:row>
      <xdr:rowOff>257175</xdr:rowOff>
    </xdr:from>
    <xdr:to>
      <xdr:col>55</xdr:col>
      <xdr:colOff>333375</xdr:colOff>
      <xdr:row>2</xdr:row>
      <xdr:rowOff>142875</xdr:rowOff>
    </xdr:to>
    <xdr:sp>
      <xdr:nvSpPr>
        <xdr:cNvPr id="7" name="Rounded Rectangle 12">
          <a:hlinkClick r:id="rId2"/>
        </xdr:cNvPr>
        <xdr:cNvSpPr>
          <a:spLocks/>
        </xdr:cNvSpPr>
      </xdr:nvSpPr>
      <xdr:spPr>
        <a:xfrm>
          <a:off x="8639175" y="485775"/>
          <a:ext cx="962025"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Form(16)-1</a:t>
          </a:r>
        </a:p>
      </xdr:txBody>
    </xdr:sp>
    <xdr:clientData/>
  </xdr:twoCellAnchor>
  <xdr:twoCellAnchor>
    <xdr:from>
      <xdr:col>56</xdr:col>
      <xdr:colOff>85725</xdr:colOff>
      <xdr:row>1</xdr:row>
      <xdr:rowOff>276225</xdr:rowOff>
    </xdr:from>
    <xdr:to>
      <xdr:col>58</xdr:col>
      <xdr:colOff>190500</xdr:colOff>
      <xdr:row>2</xdr:row>
      <xdr:rowOff>161925</xdr:rowOff>
    </xdr:to>
    <xdr:sp>
      <xdr:nvSpPr>
        <xdr:cNvPr id="8" name="Rounded Rectangle 41">
          <a:hlinkClick r:id="rId3"/>
        </xdr:cNvPr>
        <xdr:cNvSpPr>
          <a:spLocks/>
        </xdr:cNvSpPr>
      </xdr:nvSpPr>
      <xdr:spPr>
        <a:xfrm>
          <a:off x="9772650" y="504825"/>
          <a:ext cx="942975"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Form(16)-2</a:t>
          </a:r>
        </a:p>
      </xdr:txBody>
    </xdr:sp>
    <xdr:clientData/>
  </xdr:twoCellAnchor>
  <xdr:twoCellAnchor>
    <xdr:from>
      <xdr:col>53</xdr:col>
      <xdr:colOff>219075</xdr:colOff>
      <xdr:row>2</xdr:row>
      <xdr:rowOff>228600</xdr:rowOff>
    </xdr:from>
    <xdr:to>
      <xdr:col>55</xdr:col>
      <xdr:colOff>352425</xdr:colOff>
      <xdr:row>3</xdr:row>
      <xdr:rowOff>219075</xdr:rowOff>
    </xdr:to>
    <xdr:sp>
      <xdr:nvSpPr>
        <xdr:cNvPr id="9" name="Rounded Rectangle 42">
          <a:hlinkClick r:id="rId4"/>
        </xdr:cNvPr>
        <xdr:cNvSpPr>
          <a:spLocks/>
        </xdr:cNvSpPr>
      </xdr:nvSpPr>
      <xdr:spPr>
        <a:xfrm>
          <a:off x="8648700" y="876300"/>
          <a:ext cx="971550"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Rent</a:t>
          </a:r>
          <a:r>
            <a:rPr lang="en-US" cap="none" sz="1100" b="1" i="0" u="none" baseline="0">
              <a:solidFill>
                <a:srgbClr val="800000"/>
              </a:solidFill>
              <a:latin typeface="Calibri"/>
              <a:ea typeface="Calibri"/>
              <a:cs typeface="Calibri"/>
            </a:rPr>
            <a:t> Certi</a:t>
          </a:r>
        </a:p>
      </xdr:txBody>
    </xdr:sp>
    <xdr:clientData/>
  </xdr:twoCellAnchor>
  <xdr:twoCellAnchor>
    <xdr:from>
      <xdr:col>53</xdr:col>
      <xdr:colOff>209550</xdr:colOff>
      <xdr:row>0</xdr:row>
      <xdr:rowOff>114300</xdr:rowOff>
    </xdr:from>
    <xdr:to>
      <xdr:col>55</xdr:col>
      <xdr:colOff>333375</xdr:colOff>
      <xdr:row>1</xdr:row>
      <xdr:rowOff>190500</xdr:rowOff>
    </xdr:to>
    <xdr:sp>
      <xdr:nvSpPr>
        <xdr:cNvPr id="10" name="Rounded Rectangle 44">
          <a:hlinkClick r:id="rId5"/>
        </xdr:cNvPr>
        <xdr:cNvSpPr>
          <a:spLocks/>
        </xdr:cNvSpPr>
      </xdr:nvSpPr>
      <xdr:spPr>
        <a:xfrm>
          <a:off x="8639175" y="114300"/>
          <a:ext cx="962025"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Slary Details</a:t>
          </a:r>
        </a:p>
      </xdr:txBody>
    </xdr:sp>
    <xdr:clientData/>
  </xdr:twoCellAnchor>
  <xdr:twoCellAnchor>
    <xdr:from>
      <xdr:col>56</xdr:col>
      <xdr:colOff>104775</xdr:colOff>
      <xdr:row>0</xdr:row>
      <xdr:rowOff>104775</xdr:rowOff>
    </xdr:from>
    <xdr:to>
      <xdr:col>58</xdr:col>
      <xdr:colOff>219075</xdr:colOff>
      <xdr:row>1</xdr:row>
      <xdr:rowOff>180975</xdr:rowOff>
    </xdr:to>
    <xdr:sp>
      <xdr:nvSpPr>
        <xdr:cNvPr id="11" name="Rounded Rectangle 45">
          <a:hlinkClick r:id="rId6"/>
        </xdr:cNvPr>
        <xdr:cNvSpPr>
          <a:spLocks/>
        </xdr:cNvSpPr>
      </xdr:nvSpPr>
      <xdr:spPr>
        <a:xfrm>
          <a:off x="9791700" y="104775"/>
          <a:ext cx="952500"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Income TAX</a:t>
          </a:r>
        </a:p>
      </xdr:txBody>
    </xdr:sp>
    <xdr:clientData/>
  </xdr:twoCellAnchor>
  <xdr:twoCellAnchor>
    <xdr:from>
      <xdr:col>50</xdr:col>
      <xdr:colOff>9525</xdr:colOff>
      <xdr:row>0</xdr:row>
      <xdr:rowOff>180975</xdr:rowOff>
    </xdr:from>
    <xdr:to>
      <xdr:col>53</xdr:col>
      <xdr:colOff>219075</xdr:colOff>
      <xdr:row>1</xdr:row>
      <xdr:rowOff>352425</xdr:rowOff>
    </xdr:to>
    <xdr:sp>
      <xdr:nvSpPr>
        <xdr:cNvPr id="12" name="Right Arrow 4"/>
        <xdr:cNvSpPr>
          <a:spLocks/>
        </xdr:cNvSpPr>
      </xdr:nvSpPr>
      <xdr:spPr>
        <a:xfrm>
          <a:off x="7410450" y="180975"/>
          <a:ext cx="1238250" cy="400050"/>
        </a:xfrm>
        <a:prstGeom prst="rightArrow">
          <a:avLst>
            <a:gd name="adj" fmla="val 33847"/>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49</xdr:col>
      <xdr:colOff>361950</xdr:colOff>
      <xdr:row>0</xdr:row>
      <xdr:rowOff>219075</xdr:rowOff>
    </xdr:from>
    <xdr:ext cx="1143000" cy="314325"/>
    <xdr:sp>
      <xdr:nvSpPr>
        <xdr:cNvPr id="13" name="Rectangle 7"/>
        <xdr:cNvSpPr>
          <a:spLocks/>
        </xdr:cNvSpPr>
      </xdr:nvSpPr>
      <xdr:spPr>
        <a:xfrm>
          <a:off x="7343775" y="219075"/>
          <a:ext cx="1143000" cy="314325"/>
        </a:xfrm>
        <a:prstGeom prst="rect">
          <a:avLst/>
        </a:prstGeom>
        <a:noFill/>
        <a:ln w="9525" cmpd="sng">
          <a:noFill/>
        </a:ln>
      </xdr:spPr>
      <xdr:txBody>
        <a:bodyPr vertOverflow="clip" wrap="square"/>
        <a:p>
          <a:pPr algn="ctr">
            <a:defRPr/>
          </a:pPr>
          <a:r>
            <a:rPr lang="en-US" cap="none" sz="1400" b="1" i="0" u="none" baseline="0">
              <a:latin typeface="Calibri"/>
              <a:ea typeface="Calibri"/>
              <a:cs typeface="Calibri"/>
            </a:rPr>
            <a:t>Click Here</a:t>
          </a:r>
        </a:p>
      </xdr:txBody>
    </xdr:sp>
    <xdr:clientData/>
  </xdr:oneCellAnchor>
  <xdr:twoCellAnchor>
    <xdr:from>
      <xdr:col>44</xdr:col>
      <xdr:colOff>0</xdr:colOff>
      <xdr:row>5</xdr:row>
      <xdr:rowOff>295275</xdr:rowOff>
    </xdr:from>
    <xdr:to>
      <xdr:col>49</xdr:col>
      <xdr:colOff>266700</xdr:colOff>
      <xdr:row>6</xdr:row>
      <xdr:rowOff>304800</xdr:rowOff>
    </xdr:to>
    <xdr:grpSp>
      <xdr:nvGrpSpPr>
        <xdr:cNvPr id="14" name="Group 4"/>
        <xdr:cNvGrpSpPr>
          <a:grpSpLocks/>
        </xdr:cNvGrpSpPr>
      </xdr:nvGrpSpPr>
      <xdr:grpSpPr>
        <a:xfrm>
          <a:off x="4867275" y="1885950"/>
          <a:ext cx="2381250" cy="323850"/>
          <a:chOff x="40938450" y="1571625"/>
          <a:chExt cx="3381375" cy="323850"/>
        </a:xfrm>
        <a:solidFill>
          <a:srgbClr val="FFFFFF"/>
        </a:solidFill>
      </xdr:grpSpPr>
    </xdr:grpSp>
    <xdr:clientData/>
  </xdr:twoCellAnchor>
  <xdr:twoCellAnchor>
    <xdr:from>
      <xdr:col>53</xdr:col>
      <xdr:colOff>314325</xdr:colOff>
      <xdr:row>11</xdr:row>
      <xdr:rowOff>276225</xdr:rowOff>
    </xdr:from>
    <xdr:to>
      <xdr:col>58</xdr:col>
      <xdr:colOff>390525</xdr:colOff>
      <xdr:row>13</xdr:row>
      <xdr:rowOff>57150</xdr:rowOff>
    </xdr:to>
    <xdr:sp macro="[0]!Sheet1.a4prints">
      <xdr:nvSpPr>
        <xdr:cNvPr id="18" name="Rounded Rectangle 46"/>
        <xdr:cNvSpPr>
          <a:spLocks/>
        </xdr:cNvSpPr>
      </xdr:nvSpPr>
      <xdr:spPr>
        <a:xfrm>
          <a:off x="8743950" y="3667125"/>
          <a:ext cx="2171700" cy="352425"/>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Salary Form </a:t>
          </a:r>
          <a:r>
            <a:rPr lang="en-US" cap="none" sz="1300" b="1" i="0" u="none" baseline="0">
              <a:solidFill>
                <a:srgbClr val="800000"/>
              </a:solidFill>
              <a:latin typeface="Calibri"/>
              <a:ea typeface="Calibri"/>
              <a:cs typeface="Calibri"/>
            </a:rPr>
            <a:t>and  </a:t>
          </a:r>
          <a:r>
            <a:rPr lang="en-US" cap="none" sz="1300" b="1" i="0" u="none" baseline="0">
              <a:solidFill>
                <a:srgbClr val="000000"/>
              </a:solidFill>
              <a:latin typeface="Calibri"/>
              <a:ea typeface="Calibri"/>
              <a:cs typeface="Calibri"/>
            </a:rPr>
            <a:t>IT Form</a:t>
          </a:r>
        </a:p>
      </xdr:txBody>
    </xdr:sp>
    <xdr:clientData/>
  </xdr:twoCellAnchor>
  <xdr:twoCellAnchor>
    <xdr:from>
      <xdr:col>56</xdr:col>
      <xdr:colOff>76200</xdr:colOff>
      <xdr:row>2</xdr:row>
      <xdr:rowOff>238125</xdr:rowOff>
    </xdr:from>
    <xdr:to>
      <xdr:col>58</xdr:col>
      <xdr:colOff>209550</xdr:colOff>
      <xdr:row>3</xdr:row>
      <xdr:rowOff>228600</xdr:rowOff>
    </xdr:to>
    <xdr:sp>
      <xdr:nvSpPr>
        <xdr:cNvPr id="19" name="Rounded Rectangle 47">
          <a:hlinkClick r:id="rId7"/>
        </xdr:cNvPr>
        <xdr:cNvSpPr>
          <a:spLocks/>
        </xdr:cNvSpPr>
      </xdr:nvSpPr>
      <xdr:spPr>
        <a:xfrm>
          <a:off x="9763125" y="885825"/>
          <a:ext cx="971550"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Form 22B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2</xdr:row>
      <xdr:rowOff>19050</xdr:rowOff>
    </xdr:from>
    <xdr:to>
      <xdr:col>23</xdr:col>
      <xdr:colOff>266700</xdr:colOff>
      <xdr:row>2</xdr:row>
      <xdr:rowOff>285750</xdr:rowOff>
    </xdr:to>
    <xdr:sp>
      <xdr:nvSpPr>
        <xdr:cNvPr id="1" name="Rounded Rectangle 5">
          <a:hlinkClick r:id="rId1"/>
        </xdr:cNvPr>
        <xdr:cNvSpPr>
          <a:spLocks/>
        </xdr:cNvSpPr>
      </xdr:nvSpPr>
      <xdr:spPr>
        <a:xfrm>
          <a:off x="11430000" y="342900"/>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22</xdr:col>
      <xdr:colOff>28575</xdr:colOff>
      <xdr:row>3</xdr:row>
      <xdr:rowOff>95250</xdr:rowOff>
    </xdr:from>
    <xdr:to>
      <xdr:col>23</xdr:col>
      <xdr:colOff>323850</xdr:colOff>
      <xdr:row>5</xdr:row>
      <xdr:rowOff>19050</xdr:rowOff>
    </xdr:to>
    <xdr:sp>
      <xdr:nvSpPr>
        <xdr:cNvPr id="2" name="Rounded Rectangle 7">
          <a:hlinkClick r:id="rId2"/>
        </xdr:cNvPr>
        <xdr:cNvSpPr>
          <a:spLocks/>
        </xdr:cNvSpPr>
      </xdr:nvSpPr>
      <xdr:spPr>
        <a:xfrm>
          <a:off x="11439525" y="933450"/>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Income TAX</a:t>
          </a:r>
        </a:p>
      </xdr:txBody>
    </xdr:sp>
    <xdr:clientData/>
  </xdr:twoCellAnchor>
  <xdr:twoCellAnchor>
    <xdr:from>
      <xdr:col>22</xdr:col>
      <xdr:colOff>19050</xdr:colOff>
      <xdr:row>9</xdr:row>
      <xdr:rowOff>9525</xdr:rowOff>
    </xdr:from>
    <xdr:to>
      <xdr:col>23</xdr:col>
      <xdr:colOff>581025</xdr:colOff>
      <xdr:row>10</xdr:row>
      <xdr:rowOff>123825</xdr:rowOff>
    </xdr:to>
    <xdr:sp macro="[0]!Sheet1.MyPrintSALFRM">
      <xdr:nvSpPr>
        <xdr:cNvPr id="3" name="Rounded Rectangle 3"/>
        <xdr:cNvSpPr>
          <a:spLocks/>
        </xdr:cNvSpPr>
      </xdr:nvSpPr>
      <xdr:spPr>
        <a:xfrm>
          <a:off x="11430000" y="1990725"/>
          <a:ext cx="11715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 Legal Size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14</xdr:col>
      <xdr:colOff>247650</xdr:colOff>
      <xdr:row>2</xdr:row>
      <xdr:rowOff>38100</xdr:rowOff>
    </xdr:to>
    <xdr:sp>
      <xdr:nvSpPr>
        <xdr:cNvPr id="1" name="Rounded Rectangle 1">
          <a:hlinkClick r:id="rId1"/>
        </xdr:cNvPr>
        <xdr:cNvSpPr>
          <a:spLocks/>
        </xdr:cNvSpPr>
      </xdr:nvSpPr>
      <xdr:spPr>
        <a:xfrm>
          <a:off x="7162800" y="2000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33</xdr:row>
      <xdr:rowOff>0</xdr:rowOff>
    </xdr:from>
    <xdr:to>
      <xdr:col>14</xdr:col>
      <xdr:colOff>247650</xdr:colOff>
      <xdr:row>34</xdr:row>
      <xdr:rowOff>66675</xdr:rowOff>
    </xdr:to>
    <xdr:sp>
      <xdr:nvSpPr>
        <xdr:cNvPr id="2" name="Rounded Rectangle 2">
          <a:hlinkClick r:id="rId2"/>
        </xdr:cNvPr>
        <xdr:cNvSpPr>
          <a:spLocks/>
        </xdr:cNvSpPr>
      </xdr:nvSpPr>
      <xdr:spPr>
        <a:xfrm>
          <a:off x="7162800" y="63722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19050</xdr:colOff>
      <xdr:row>63</xdr:row>
      <xdr:rowOff>133350</xdr:rowOff>
    </xdr:from>
    <xdr:to>
      <xdr:col>14</xdr:col>
      <xdr:colOff>266700</xdr:colOff>
      <xdr:row>65</xdr:row>
      <xdr:rowOff>85725</xdr:rowOff>
    </xdr:to>
    <xdr:sp>
      <xdr:nvSpPr>
        <xdr:cNvPr id="3" name="Rounded Rectangle 3">
          <a:hlinkClick r:id="rId3"/>
        </xdr:cNvPr>
        <xdr:cNvSpPr>
          <a:spLocks/>
        </xdr:cNvSpPr>
      </xdr:nvSpPr>
      <xdr:spPr>
        <a:xfrm>
          <a:off x="7181850" y="12344400"/>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6</xdr:row>
      <xdr:rowOff>0</xdr:rowOff>
    </xdr:from>
    <xdr:to>
      <xdr:col>14</xdr:col>
      <xdr:colOff>352425</xdr:colOff>
      <xdr:row>7</xdr:row>
      <xdr:rowOff>104775</xdr:rowOff>
    </xdr:to>
    <xdr:sp>
      <xdr:nvSpPr>
        <xdr:cNvPr id="4" name="Rounded Rectangle 4">
          <a:hlinkClick r:id="rId4"/>
        </xdr:cNvPr>
        <xdr:cNvSpPr>
          <a:spLocks/>
        </xdr:cNvSpPr>
      </xdr:nvSpPr>
      <xdr:spPr>
        <a:xfrm>
          <a:off x="7162800" y="1123950"/>
          <a:ext cx="10572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Slary Details</a:t>
          </a:r>
        </a:p>
      </xdr:txBody>
    </xdr:sp>
    <xdr:clientData/>
  </xdr:twoCellAnchor>
  <xdr:twoCellAnchor>
    <xdr:from>
      <xdr:col>13</xdr:col>
      <xdr:colOff>0</xdr:colOff>
      <xdr:row>14</xdr:row>
      <xdr:rowOff>85725</xdr:rowOff>
    </xdr:from>
    <xdr:to>
      <xdr:col>15</xdr:col>
      <xdr:colOff>142875</xdr:colOff>
      <xdr:row>16</xdr:row>
      <xdr:rowOff>9525</xdr:rowOff>
    </xdr:to>
    <xdr:sp macro="[0]!Sheet1.MyPrintIT">
      <xdr:nvSpPr>
        <xdr:cNvPr id="5" name="Rounded Rectangle 5"/>
        <xdr:cNvSpPr>
          <a:spLocks/>
        </xdr:cNvSpPr>
      </xdr:nvSpPr>
      <xdr:spPr>
        <a:xfrm>
          <a:off x="7162800" y="2771775"/>
          <a:ext cx="145732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 ( Legal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304800</xdr:colOff>
      <xdr:row>1</xdr:row>
      <xdr:rowOff>76200</xdr:rowOff>
    </xdr:from>
    <xdr:to>
      <xdr:col>21</xdr:col>
      <xdr:colOff>552450</xdr:colOff>
      <xdr:row>2</xdr:row>
      <xdr:rowOff>219075</xdr:rowOff>
    </xdr:to>
    <xdr:sp>
      <xdr:nvSpPr>
        <xdr:cNvPr id="1" name="Rounded Rectangle 1">
          <a:hlinkClick r:id="rId1"/>
        </xdr:cNvPr>
        <xdr:cNvSpPr>
          <a:spLocks/>
        </xdr:cNvSpPr>
      </xdr:nvSpPr>
      <xdr:spPr>
        <a:xfrm>
          <a:off x="10620375" y="2762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20</xdr:col>
      <xdr:colOff>295275</xdr:colOff>
      <xdr:row>4</xdr:row>
      <xdr:rowOff>19050</xdr:rowOff>
    </xdr:from>
    <xdr:to>
      <xdr:col>21</xdr:col>
      <xdr:colOff>590550</xdr:colOff>
      <xdr:row>5</xdr:row>
      <xdr:rowOff>133350</xdr:rowOff>
    </xdr:to>
    <xdr:sp>
      <xdr:nvSpPr>
        <xdr:cNvPr id="2" name="Rounded Rectangle 2">
          <a:hlinkClick r:id="rId2"/>
        </xdr:cNvPr>
        <xdr:cNvSpPr>
          <a:spLocks/>
        </xdr:cNvSpPr>
      </xdr:nvSpPr>
      <xdr:spPr>
        <a:xfrm>
          <a:off x="10610850" y="1047750"/>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Income TAX</a:t>
          </a:r>
        </a:p>
      </xdr:txBody>
    </xdr:sp>
    <xdr:clientData/>
  </xdr:twoCellAnchor>
  <xdr:twoCellAnchor>
    <xdr:from>
      <xdr:col>20</xdr:col>
      <xdr:colOff>352425</xdr:colOff>
      <xdr:row>10</xdr:row>
      <xdr:rowOff>95250</xdr:rowOff>
    </xdr:from>
    <xdr:to>
      <xdr:col>22</xdr:col>
      <xdr:colOff>304800</xdr:colOff>
      <xdr:row>12</xdr:row>
      <xdr:rowOff>19050</xdr:rowOff>
    </xdr:to>
    <xdr:sp macro="[0]!Sheet1.MyPrintSALFRM">
      <xdr:nvSpPr>
        <xdr:cNvPr id="3" name="Rounded Rectangle 3"/>
        <xdr:cNvSpPr>
          <a:spLocks/>
        </xdr:cNvSpPr>
      </xdr:nvSpPr>
      <xdr:spPr>
        <a:xfrm>
          <a:off x="10668000" y="2266950"/>
          <a:ext cx="11715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 A4 Size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14</xdr:col>
      <xdr:colOff>247650</xdr:colOff>
      <xdr:row>2</xdr:row>
      <xdr:rowOff>38100</xdr:rowOff>
    </xdr:to>
    <xdr:sp>
      <xdr:nvSpPr>
        <xdr:cNvPr id="1" name="Rounded Rectangle 1">
          <a:hlinkClick r:id="rId1"/>
        </xdr:cNvPr>
        <xdr:cNvSpPr>
          <a:spLocks/>
        </xdr:cNvSpPr>
      </xdr:nvSpPr>
      <xdr:spPr>
        <a:xfrm>
          <a:off x="8372475" y="2000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33</xdr:row>
      <xdr:rowOff>0</xdr:rowOff>
    </xdr:from>
    <xdr:to>
      <xdr:col>14</xdr:col>
      <xdr:colOff>247650</xdr:colOff>
      <xdr:row>34</xdr:row>
      <xdr:rowOff>66675</xdr:rowOff>
    </xdr:to>
    <xdr:sp>
      <xdr:nvSpPr>
        <xdr:cNvPr id="2" name="Rounded Rectangle 2">
          <a:hlinkClick r:id="rId2"/>
        </xdr:cNvPr>
        <xdr:cNvSpPr>
          <a:spLocks/>
        </xdr:cNvSpPr>
      </xdr:nvSpPr>
      <xdr:spPr>
        <a:xfrm>
          <a:off x="8372475" y="63722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19050</xdr:colOff>
      <xdr:row>63</xdr:row>
      <xdr:rowOff>133350</xdr:rowOff>
    </xdr:from>
    <xdr:to>
      <xdr:col>14</xdr:col>
      <xdr:colOff>266700</xdr:colOff>
      <xdr:row>65</xdr:row>
      <xdr:rowOff>85725</xdr:rowOff>
    </xdr:to>
    <xdr:sp>
      <xdr:nvSpPr>
        <xdr:cNvPr id="3" name="Rounded Rectangle 3">
          <a:hlinkClick r:id="rId3"/>
        </xdr:cNvPr>
        <xdr:cNvSpPr>
          <a:spLocks/>
        </xdr:cNvSpPr>
      </xdr:nvSpPr>
      <xdr:spPr>
        <a:xfrm>
          <a:off x="8391525" y="12344400"/>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6</xdr:row>
      <xdr:rowOff>0</xdr:rowOff>
    </xdr:from>
    <xdr:to>
      <xdr:col>14</xdr:col>
      <xdr:colOff>352425</xdr:colOff>
      <xdr:row>7</xdr:row>
      <xdr:rowOff>104775</xdr:rowOff>
    </xdr:to>
    <xdr:sp>
      <xdr:nvSpPr>
        <xdr:cNvPr id="4" name="Rounded Rectangle 4">
          <a:hlinkClick r:id="rId4"/>
        </xdr:cNvPr>
        <xdr:cNvSpPr>
          <a:spLocks/>
        </xdr:cNvSpPr>
      </xdr:nvSpPr>
      <xdr:spPr>
        <a:xfrm>
          <a:off x="8372475" y="1123950"/>
          <a:ext cx="10572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Slary Details</a:t>
          </a:r>
        </a:p>
      </xdr:txBody>
    </xdr:sp>
    <xdr:clientData/>
  </xdr:twoCellAnchor>
  <xdr:twoCellAnchor>
    <xdr:from>
      <xdr:col>13</xdr:col>
      <xdr:colOff>0</xdr:colOff>
      <xdr:row>14</xdr:row>
      <xdr:rowOff>85725</xdr:rowOff>
    </xdr:from>
    <xdr:to>
      <xdr:col>15</xdr:col>
      <xdr:colOff>142875</xdr:colOff>
      <xdr:row>16</xdr:row>
      <xdr:rowOff>9525</xdr:rowOff>
    </xdr:to>
    <xdr:sp macro="[0]!Sheet1.MyPrintIT">
      <xdr:nvSpPr>
        <xdr:cNvPr id="5" name="Rounded Rectangle 5"/>
        <xdr:cNvSpPr>
          <a:spLocks/>
        </xdr:cNvSpPr>
      </xdr:nvSpPr>
      <xdr:spPr>
        <a:xfrm>
          <a:off x="8372475" y="2771775"/>
          <a:ext cx="145732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 ( A4 )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0</xdr:rowOff>
    </xdr:from>
    <xdr:to>
      <xdr:col>15</xdr:col>
      <xdr:colOff>352425</xdr:colOff>
      <xdr:row>6</xdr:row>
      <xdr:rowOff>104775</xdr:rowOff>
    </xdr:to>
    <xdr:sp>
      <xdr:nvSpPr>
        <xdr:cNvPr id="1" name="Rounded Rectangle 1">
          <a:hlinkClick r:id="rId1"/>
        </xdr:cNvPr>
        <xdr:cNvSpPr>
          <a:spLocks/>
        </xdr:cNvSpPr>
      </xdr:nvSpPr>
      <xdr:spPr>
        <a:xfrm>
          <a:off x="6619875" y="1038225"/>
          <a:ext cx="96202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Slary Details</a:t>
          </a:r>
        </a:p>
      </xdr:txBody>
    </xdr:sp>
    <xdr:clientData/>
  </xdr:twoCellAnchor>
  <xdr:twoCellAnchor>
    <xdr:from>
      <xdr:col>14</xdr:col>
      <xdr:colOff>0</xdr:colOff>
      <xdr:row>2</xdr:row>
      <xdr:rowOff>0</xdr:rowOff>
    </xdr:from>
    <xdr:to>
      <xdr:col>15</xdr:col>
      <xdr:colOff>247650</xdr:colOff>
      <xdr:row>3</xdr:row>
      <xdr:rowOff>95250</xdr:rowOff>
    </xdr:to>
    <xdr:sp>
      <xdr:nvSpPr>
        <xdr:cNvPr id="2" name="Rounded Rectangle 3">
          <a:hlinkClick r:id="rId2"/>
        </xdr:cNvPr>
        <xdr:cNvSpPr>
          <a:spLocks/>
        </xdr:cNvSpPr>
      </xdr:nvSpPr>
      <xdr:spPr>
        <a:xfrm>
          <a:off x="6619875" y="4667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14</xdr:col>
      <xdr:colOff>0</xdr:colOff>
      <xdr:row>8</xdr:row>
      <xdr:rowOff>0</xdr:rowOff>
    </xdr:from>
    <xdr:to>
      <xdr:col>15</xdr:col>
      <xdr:colOff>295275</xdr:colOff>
      <xdr:row>9</xdr:row>
      <xdr:rowOff>104775</xdr:rowOff>
    </xdr:to>
    <xdr:sp>
      <xdr:nvSpPr>
        <xdr:cNvPr id="3" name="Rounded Rectangle 4">
          <a:hlinkClick r:id="rId3"/>
        </xdr:cNvPr>
        <xdr:cNvSpPr>
          <a:spLocks/>
        </xdr:cNvSpPr>
      </xdr:nvSpPr>
      <xdr:spPr>
        <a:xfrm>
          <a:off x="6619875" y="1647825"/>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Income TAX</a:t>
          </a:r>
        </a:p>
      </xdr:txBody>
    </xdr:sp>
    <xdr:clientData/>
  </xdr:twoCellAnchor>
  <xdr:twoCellAnchor>
    <xdr:from>
      <xdr:col>14</xdr:col>
      <xdr:colOff>28575</xdr:colOff>
      <xdr:row>11</xdr:row>
      <xdr:rowOff>38100</xdr:rowOff>
    </xdr:from>
    <xdr:to>
      <xdr:col>15</xdr:col>
      <xdr:colOff>323850</xdr:colOff>
      <xdr:row>12</xdr:row>
      <xdr:rowOff>152400</xdr:rowOff>
    </xdr:to>
    <xdr:sp macro="[0]!Sheet1.MyPrint16A">
      <xdr:nvSpPr>
        <xdr:cNvPr id="4" name="Rounded Rectangle 5"/>
        <xdr:cNvSpPr>
          <a:spLocks/>
        </xdr:cNvSpPr>
      </xdr:nvSpPr>
      <xdr:spPr>
        <a:xfrm>
          <a:off x="6648450" y="2362200"/>
          <a:ext cx="9048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twoCellAnchor>
    <xdr:from>
      <xdr:col>14</xdr:col>
      <xdr:colOff>9525</xdr:colOff>
      <xdr:row>14</xdr:row>
      <xdr:rowOff>85725</xdr:rowOff>
    </xdr:from>
    <xdr:to>
      <xdr:col>15</xdr:col>
      <xdr:colOff>304800</xdr:colOff>
      <xdr:row>15</xdr:row>
      <xdr:rowOff>200025</xdr:rowOff>
    </xdr:to>
    <xdr:sp>
      <xdr:nvSpPr>
        <xdr:cNvPr id="5" name="Rounded Rectangle 6">
          <a:hlinkClick r:id="rId4"/>
        </xdr:cNvPr>
        <xdr:cNvSpPr>
          <a:spLocks/>
        </xdr:cNvSpPr>
      </xdr:nvSpPr>
      <xdr:spPr>
        <a:xfrm>
          <a:off x="6629400" y="2981325"/>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Form(16)-2</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xdr:row>
      <xdr:rowOff>0</xdr:rowOff>
    </xdr:from>
    <xdr:to>
      <xdr:col>14</xdr:col>
      <xdr:colOff>323850</xdr:colOff>
      <xdr:row>5</xdr:row>
      <xdr:rowOff>95250</xdr:rowOff>
    </xdr:to>
    <xdr:sp>
      <xdr:nvSpPr>
        <xdr:cNvPr id="1" name="Rounded Rectangle 1">
          <a:hlinkClick r:id="rId1"/>
        </xdr:cNvPr>
        <xdr:cNvSpPr>
          <a:spLocks/>
        </xdr:cNvSpPr>
      </xdr:nvSpPr>
      <xdr:spPr>
        <a:xfrm>
          <a:off x="7553325" y="809625"/>
          <a:ext cx="933450"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Slary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Details</a:t>
          </a:r>
        </a:p>
      </xdr:txBody>
    </xdr:sp>
    <xdr:clientData/>
  </xdr:twoCellAnchor>
  <xdr:twoCellAnchor>
    <xdr:from>
      <xdr:col>13</xdr:col>
      <xdr:colOff>0</xdr:colOff>
      <xdr:row>2</xdr:row>
      <xdr:rowOff>0</xdr:rowOff>
    </xdr:from>
    <xdr:to>
      <xdr:col>14</xdr:col>
      <xdr:colOff>247650</xdr:colOff>
      <xdr:row>3</xdr:row>
      <xdr:rowOff>57150</xdr:rowOff>
    </xdr:to>
    <xdr:sp>
      <xdr:nvSpPr>
        <xdr:cNvPr id="2" name="Rounded Rectangle 2">
          <a:hlinkClick r:id="rId2"/>
        </xdr:cNvPr>
        <xdr:cNvSpPr>
          <a:spLocks/>
        </xdr:cNvSpPr>
      </xdr:nvSpPr>
      <xdr:spPr>
        <a:xfrm>
          <a:off x="7553325" y="3905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7</xdr:row>
      <xdr:rowOff>0</xdr:rowOff>
    </xdr:from>
    <xdr:to>
      <xdr:col>14</xdr:col>
      <xdr:colOff>400050</xdr:colOff>
      <xdr:row>8</xdr:row>
      <xdr:rowOff>95250</xdr:rowOff>
    </xdr:to>
    <xdr:sp>
      <xdr:nvSpPr>
        <xdr:cNvPr id="3" name="Rounded Rectangle 3">
          <a:hlinkClick r:id="rId3"/>
        </xdr:cNvPr>
        <xdr:cNvSpPr>
          <a:spLocks/>
        </xdr:cNvSpPr>
      </xdr:nvSpPr>
      <xdr:spPr>
        <a:xfrm>
          <a:off x="7553325" y="1438275"/>
          <a:ext cx="1009650"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Income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TAX</a:t>
          </a:r>
        </a:p>
      </xdr:txBody>
    </xdr:sp>
    <xdr:clientData/>
  </xdr:twoCellAnchor>
  <xdr:twoCellAnchor>
    <xdr:from>
      <xdr:col>13</xdr:col>
      <xdr:colOff>9525</xdr:colOff>
      <xdr:row>9</xdr:row>
      <xdr:rowOff>133350</xdr:rowOff>
    </xdr:from>
    <xdr:to>
      <xdr:col>14</xdr:col>
      <xdr:colOff>314325</xdr:colOff>
      <xdr:row>11</xdr:row>
      <xdr:rowOff>28575</xdr:rowOff>
    </xdr:to>
    <xdr:sp macro="[0]!Sheet1.MyPrint16B">
      <xdr:nvSpPr>
        <xdr:cNvPr id="4" name="Rounded Rectangle 4"/>
        <xdr:cNvSpPr>
          <a:spLocks/>
        </xdr:cNvSpPr>
      </xdr:nvSpPr>
      <xdr:spPr>
        <a:xfrm>
          <a:off x="7562850" y="1990725"/>
          <a:ext cx="914400" cy="314325"/>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PRINT</a:t>
          </a:r>
        </a:p>
      </xdr:txBody>
    </xdr:sp>
    <xdr:clientData/>
  </xdr:twoCellAnchor>
  <xdr:twoCellAnchor>
    <xdr:from>
      <xdr:col>13</xdr:col>
      <xdr:colOff>0</xdr:colOff>
      <xdr:row>13</xdr:row>
      <xdr:rowOff>28575</xdr:rowOff>
    </xdr:from>
    <xdr:to>
      <xdr:col>14</xdr:col>
      <xdr:colOff>295275</xdr:colOff>
      <xdr:row>15</xdr:row>
      <xdr:rowOff>133350</xdr:rowOff>
    </xdr:to>
    <xdr:sp>
      <xdr:nvSpPr>
        <xdr:cNvPr id="5" name="Rounded Rectangle 5">
          <a:hlinkClick r:id="rId4"/>
        </xdr:cNvPr>
        <xdr:cNvSpPr>
          <a:spLocks/>
        </xdr:cNvSpPr>
      </xdr:nvSpPr>
      <xdr:spPr>
        <a:xfrm>
          <a:off x="7553325" y="2705100"/>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Form(16</a:t>
          </a:r>
          <a:r>
            <a:rPr lang="en-US" cap="none" sz="1100" b="0" i="0" u="none" baseline="0">
              <a:solidFill>
                <a:srgbClr val="000000"/>
              </a:solidFill>
              <a:latin typeface="Calibri"/>
              <a:ea typeface="Calibri"/>
              <a:cs typeface="Calibri"/>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15</xdr:row>
      <xdr:rowOff>0</xdr:rowOff>
    </xdr:from>
    <xdr:to>
      <xdr:col>12</xdr:col>
      <xdr:colOff>295275</xdr:colOff>
      <xdr:row>16</xdr:row>
      <xdr:rowOff>85725</xdr:rowOff>
    </xdr:to>
    <xdr:sp>
      <xdr:nvSpPr>
        <xdr:cNvPr id="1" name="Rounded Rectangle 1">
          <a:hlinkClick r:id="rId1"/>
        </xdr:cNvPr>
        <xdr:cNvSpPr>
          <a:spLocks/>
        </xdr:cNvSpPr>
      </xdr:nvSpPr>
      <xdr:spPr>
        <a:xfrm>
          <a:off x="6115050" y="752475"/>
          <a:ext cx="904875" cy="276225"/>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10</xdr:col>
      <xdr:colOff>0</xdr:colOff>
      <xdr:row>19</xdr:row>
      <xdr:rowOff>0</xdr:rowOff>
    </xdr:from>
    <xdr:to>
      <xdr:col>13</xdr:col>
      <xdr:colOff>57150</xdr:colOff>
      <xdr:row>19</xdr:row>
      <xdr:rowOff>276225</xdr:rowOff>
    </xdr:to>
    <xdr:sp macro="[0]!Sheet1.MyPrintRENT">
      <xdr:nvSpPr>
        <xdr:cNvPr id="2" name="Rounded Rectangle 2"/>
        <xdr:cNvSpPr>
          <a:spLocks/>
        </xdr:cNvSpPr>
      </xdr:nvSpPr>
      <xdr:spPr>
        <a:xfrm>
          <a:off x="6115050" y="1514475"/>
          <a:ext cx="971550" cy="276225"/>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twoCellAnchor>
    <xdr:from>
      <xdr:col>12</xdr:col>
      <xdr:colOff>0</xdr:colOff>
      <xdr:row>35</xdr:row>
      <xdr:rowOff>0</xdr:rowOff>
    </xdr:from>
    <xdr:to>
      <xdr:col>15</xdr:col>
      <xdr:colOff>57150</xdr:colOff>
      <xdr:row>36</xdr:row>
      <xdr:rowOff>76200</xdr:rowOff>
    </xdr:to>
    <xdr:sp macro="[0]!Sheet1.MyPrintRENT">
      <xdr:nvSpPr>
        <xdr:cNvPr id="3" name="Rounded Rectangle 3"/>
        <xdr:cNvSpPr>
          <a:spLocks/>
        </xdr:cNvSpPr>
      </xdr:nvSpPr>
      <xdr:spPr>
        <a:xfrm>
          <a:off x="6724650" y="10010775"/>
          <a:ext cx="971550" cy="276225"/>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pteacher.net/" TargetMode="External" /><Relationship Id="rId2" Type="http://schemas.openxmlformats.org/officeDocument/2006/relationships/hyperlink" Target="http://www.apteacher.net/" TargetMode="External" /><Relationship Id="rId3" Type="http://schemas.openxmlformats.org/officeDocument/2006/relationships/vmlDrawing" Target="../drawings/vmlDrawing2.vml" /><Relationship Id="rId4" Type="http://schemas.openxmlformats.org/officeDocument/2006/relationships/drawing" Target="../drawings/drawing11.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taxplans.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tabColor theme="7" tint="-0.4999699890613556"/>
  </sheetPr>
  <dimension ref="A1:Y25"/>
  <sheetViews>
    <sheetView showGridLines="0" showRowColHeaders="0" zoomScale="90" zoomScaleNormal="90" zoomScalePageLayoutView="0" workbookViewId="0" topLeftCell="A1">
      <selection activeCell="B21" sqref="B21:P21"/>
    </sheetView>
  </sheetViews>
  <sheetFormatPr defaultColWidth="9.140625" defaultRowHeight="15"/>
  <cols>
    <col min="1" max="1" width="2.140625" style="0" customWidth="1"/>
    <col min="17" max="17" width="2.00390625" style="0" customWidth="1"/>
  </cols>
  <sheetData>
    <row r="1" spans="1:20" ht="12.75" customHeight="1">
      <c r="A1" s="395"/>
      <c r="B1" s="395"/>
      <c r="C1" s="395"/>
      <c r="D1" s="395"/>
      <c r="E1" s="395"/>
      <c r="F1" s="395"/>
      <c r="G1" s="395"/>
      <c r="H1" s="395"/>
      <c r="I1" s="395"/>
      <c r="J1" s="395"/>
      <c r="K1" s="395"/>
      <c r="L1" s="395"/>
      <c r="M1" s="395"/>
      <c r="N1" s="395"/>
      <c r="O1" s="395"/>
      <c r="P1" s="395"/>
      <c r="Q1" s="395"/>
      <c r="R1" s="396"/>
      <c r="S1" s="396"/>
      <c r="T1" s="396"/>
    </row>
    <row r="2" spans="1:20" ht="30">
      <c r="A2" s="395"/>
      <c r="B2" s="494" t="s">
        <v>548</v>
      </c>
      <c r="C2" s="494"/>
      <c r="D2" s="494"/>
      <c r="E2" s="494"/>
      <c r="F2" s="494"/>
      <c r="G2" s="494"/>
      <c r="H2" s="494"/>
      <c r="I2" s="494"/>
      <c r="J2" s="494"/>
      <c r="K2" s="494"/>
      <c r="L2" s="494"/>
      <c r="M2" s="494"/>
      <c r="N2" s="494"/>
      <c r="O2" s="494"/>
      <c r="P2" s="494"/>
      <c r="Q2" s="395"/>
      <c r="R2" s="396"/>
      <c r="S2" s="396"/>
      <c r="T2" s="396"/>
    </row>
    <row r="3" spans="1:25" ht="31.5">
      <c r="A3" s="395"/>
      <c r="B3" s="486" t="s">
        <v>486</v>
      </c>
      <c r="C3" s="486"/>
      <c r="D3" s="486"/>
      <c r="E3" s="486"/>
      <c r="F3" s="486"/>
      <c r="G3" s="486"/>
      <c r="H3" s="486"/>
      <c r="I3" s="486"/>
      <c r="J3" s="486"/>
      <c r="K3" s="486"/>
      <c r="L3" s="486"/>
      <c r="M3" s="486"/>
      <c r="N3" s="486"/>
      <c r="O3" s="486"/>
      <c r="P3" s="396"/>
      <c r="Q3" s="395"/>
      <c r="R3" s="499" t="s">
        <v>528</v>
      </c>
      <c r="S3" s="499"/>
      <c r="T3" s="499"/>
      <c r="U3" s="499"/>
      <c r="V3" s="499"/>
      <c r="W3" s="499"/>
      <c r="X3" s="499"/>
      <c r="Y3" s="415"/>
    </row>
    <row r="4" spans="1:25" ht="167.25" customHeight="1">
      <c r="A4" s="395"/>
      <c r="B4" s="504" t="s">
        <v>501</v>
      </c>
      <c r="C4" s="504"/>
      <c r="D4" s="504"/>
      <c r="E4" s="504"/>
      <c r="F4" s="504"/>
      <c r="G4" s="504"/>
      <c r="H4" s="504"/>
      <c r="I4" s="504"/>
      <c r="J4" s="504"/>
      <c r="K4" s="504"/>
      <c r="L4" s="504"/>
      <c r="M4" s="504"/>
      <c r="N4" s="504"/>
      <c r="O4" s="504"/>
      <c r="P4" s="504"/>
      <c r="Q4" s="395"/>
      <c r="R4" s="500" t="s">
        <v>529</v>
      </c>
      <c r="S4" s="500"/>
      <c r="T4" s="500"/>
      <c r="U4" s="500"/>
      <c r="V4" s="500"/>
      <c r="W4" s="500"/>
      <c r="X4" s="500"/>
      <c r="Y4" s="500"/>
    </row>
    <row r="5" spans="1:25" ht="18.75">
      <c r="A5" s="395"/>
      <c r="B5" s="487" t="s">
        <v>495</v>
      </c>
      <c r="C5" s="487"/>
      <c r="D5" s="487"/>
      <c r="E5" s="487"/>
      <c r="F5" s="487"/>
      <c r="G5" s="487"/>
      <c r="H5" s="487"/>
      <c r="I5" s="487"/>
      <c r="J5" s="487"/>
      <c r="K5" s="487"/>
      <c r="L5" s="487"/>
      <c r="M5" s="487"/>
      <c r="N5" s="487"/>
      <c r="O5" s="487"/>
      <c r="P5" s="396"/>
      <c r="Q5" s="395"/>
      <c r="R5" s="500"/>
      <c r="S5" s="500"/>
      <c r="T5" s="500"/>
      <c r="U5" s="500"/>
      <c r="V5" s="500"/>
      <c r="W5" s="500"/>
      <c r="X5" s="500"/>
      <c r="Y5" s="500"/>
    </row>
    <row r="6" spans="1:25" ht="16.5" customHeight="1">
      <c r="A6" s="395"/>
      <c r="B6" s="496" t="s">
        <v>487</v>
      </c>
      <c r="C6" s="492"/>
      <c r="D6" s="492"/>
      <c r="E6" s="492"/>
      <c r="F6" s="492"/>
      <c r="G6" s="492"/>
      <c r="H6" s="492"/>
      <c r="I6" s="492" t="s">
        <v>489</v>
      </c>
      <c r="J6" s="492"/>
      <c r="K6" s="492"/>
      <c r="L6" s="492"/>
      <c r="M6" s="492"/>
      <c r="N6" s="492"/>
      <c r="O6" s="493"/>
      <c r="P6" s="396"/>
      <c r="Q6" s="395"/>
      <c r="R6" s="500"/>
      <c r="S6" s="500"/>
      <c r="T6" s="500"/>
      <c r="U6" s="500"/>
      <c r="V6" s="500"/>
      <c r="W6" s="500"/>
      <c r="X6" s="500"/>
      <c r="Y6" s="500"/>
    </row>
    <row r="7" spans="1:20" ht="17.25">
      <c r="A7" s="395"/>
      <c r="B7" s="397" t="s">
        <v>488</v>
      </c>
      <c r="C7" s="398"/>
      <c r="D7" s="398"/>
      <c r="E7" s="398"/>
      <c r="F7" s="398"/>
      <c r="G7" s="398"/>
      <c r="H7" s="398"/>
      <c r="I7" s="488" t="s">
        <v>491</v>
      </c>
      <c r="J7" s="488"/>
      <c r="K7" s="488"/>
      <c r="L7" s="488"/>
      <c r="M7" s="488"/>
      <c r="N7" s="488"/>
      <c r="O7" s="489"/>
      <c r="P7" s="396"/>
      <c r="Q7" s="395"/>
      <c r="R7" s="396"/>
      <c r="S7" s="396"/>
      <c r="T7" s="396"/>
    </row>
    <row r="8" spans="1:20" ht="17.25">
      <c r="A8" s="395"/>
      <c r="B8" s="397" t="s">
        <v>490</v>
      </c>
      <c r="C8" s="398"/>
      <c r="D8" s="398"/>
      <c r="E8" s="398"/>
      <c r="F8" s="398"/>
      <c r="G8" s="398"/>
      <c r="H8" s="399"/>
      <c r="I8" s="488" t="s">
        <v>492</v>
      </c>
      <c r="J8" s="488"/>
      <c r="K8" s="488"/>
      <c r="L8" s="488"/>
      <c r="M8" s="488"/>
      <c r="N8" s="488"/>
      <c r="O8" s="489"/>
      <c r="P8" s="396"/>
      <c r="Q8" s="395"/>
      <c r="R8" s="396"/>
      <c r="S8" s="396"/>
      <c r="T8" s="396"/>
    </row>
    <row r="9" spans="1:20" ht="17.25">
      <c r="A9" s="395"/>
      <c r="B9" s="397" t="s">
        <v>502</v>
      </c>
      <c r="C9" s="398"/>
      <c r="D9" s="398"/>
      <c r="E9" s="398"/>
      <c r="F9" s="398"/>
      <c r="G9" s="398"/>
      <c r="H9" s="399"/>
      <c r="I9" s="488" t="s">
        <v>493</v>
      </c>
      <c r="J9" s="488"/>
      <c r="K9" s="488"/>
      <c r="L9" s="488"/>
      <c r="M9" s="488"/>
      <c r="N9" s="488"/>
      <c r="O9" s="489"/>
      <c r="P9" s="396"/>
      <c r="Q9" s="395"/>
      <c r="R9" s="396"/>
      <c r="S9" s="396"/>
      <c r="T9" s="396"/>
    </row>
    <row r="10" spans="1:20" ht="17.25">
      <c r="A10" s="395"/>
      <c r="B10" s="400" t="s">
        <v>503</v>
      </c>
      <c r="C10" s="401"/>
      <c r="D10" s="401"/>
      <c r="E10" s="401"/>
      <c r="F10" s="401"/>
      <c r="G10" s="401"/>
      <c r="H10" s="402"/>
      <c r="I10" s="502" t="s">
        <v>494</v>
      </c>
      <c r="J10" s="502"/>
      <c r="K10" s="502"/>
      <c r="L10" s="502"/>
      <c r="M10" s="502"/>
      <c r="N10" s="502"/>
      <c r="O10" s="503"/>
      <c r="P10" s="396"/>
      <c r="Q10" s="395"/>
      <c r="R10" s="396"/>
      <c r="S10" s="396"/>
      <c r="T10" s="396"/>
    </row>
    <row r="11" spans="1:20" ht="18.75">
      <c r="A11" s="395"/>
      <c r="B11" s="403" t="s">
        <v>496</v>
      </c>
      <c r="C11" s="404"/>
      <c r="D11" s="404"/>
      <c r="E11" s="404"/>
      <c r="F11" s="404"/>
      <c r="G11" s="404"/>
      <c r="H11" s="404"/>
      <c r="I11" s="404"/>
      <c r="J11" s="404"/>
      <c r="K11" s="404"/>
      <c r="L11" s="404"/>
      <c r="M11" s="404"/>
      <c r="N11" s="404"/>
      <c r="O11" s="404"/>
      <c r="P11" s="404"/>
      <c r="Q11" s="395"/>
      <c r="R11" s="396"/>
      <c r="S11" s="396"/>
      <c r="T11" s="396"/>
    </row>
    <row r="12" spans="1:20" ht="16.5">
      <c r="A12" s="395"/>
      <c r="B12" s="405" t="s">
        <v>497</v>
      </c>
      <c r="C12" s="404"/>
      <c r="D12" s="404"/>
      <c r="E12" s="404"/>
      <c r="F12" s="404"/>
      <c r="G12" s="404"/>
      <c r="H12" s="404"/>
      <c r="I12" s="404"/>
      <c r="J12" s="404"/>
      <c r="K12" s="404"/>
      <c r="L12" s="404"/>
      <c r="M12" s="404"/>
      <c r="N12" s="404"/>
      <c r="O12" s="404"/>
      <c r="P12" s="404"/>
      <c r="Q12" s="395"/>
      <c r="R12" s="396"/>
      <c r="S12" s="396"/>
      <c r="T12" s="396"/>
    </row>
    <row r="13" spans="1:20" ht="17.25">
      <c r="A13" s="395"/>
      <c r="B13" s="406" t="s">
        <v>499</v>
      </c>
      <c r="C13" s="404"/>
      <c r="D13" s="404"/>
      <c r="E13" s="404"/>
      <c r="F13" s="404"/>
      <c r="G13" s="404"/>
      <c r="H13" s="404"/>
      <c r="I13" s="404"/>
      <c r="J13" s="404"/>
      <c r="K13" s="404"/>
      <c r="L13" s="404"/>
      <c r="M13" s="404"/>
      <c r="N13" s="404"/>
      <c r="O13" s="404"/>
      <c r="P13" s="404"/>
      <c r="Q13" s="395"/>
      <c r="R13" s="396"/>
      <c r="S13" s="396"/>
      <c r="T13" s="396"/>
    </row>
    <row r="14" spans="1:20" ht="17.25">
      <c r="A14" s="395"/>
      <c r="B14" s="406" t="s">
        <v>498</v>
      </c>
      <c r="C14" s="404"/>
      <c r="D14" s="404"/>
      <c r="E14" s="404"/>
      <c r="F14" s="404"/>
      <c r="G14" s="404"/>
      <c r="H14" s="404"/>
      <c r="I14" s="404"/>
      <c r="J14" s="404"/>
      <c r="K14" s="404"/>
      <c r="L14" s="404"/>
      <c r="M14" s="404"/>
      <c r="N14" s="404"/>
      <c r="O14" s="404"/>
      <c r="P14" s="404"/>
      <c r="Q14" s="395"/>
      <c r="R14" s="396"/>
      <c r="S14" s="396"/>
      <c r="T14" s="396"/>
    </row>
    <row r="15" spans="1:20" ht="17.25">
      <c r="A15" s="395"/>
      <c r="B15" s="406" t="s">
        <v>500</v>
      </c>
      <c r="C15" s="404"/>
      <c r="D15" s="404"/>
      <c r="E15" s="404"/>
      <c r="F15" s="404"/>
      <c r="G15" s="404"/>
      <c r="H15" s="404"/>
      <c r="I15" s="404"/>
      <c r="J15" s="404"/>
      <c r="K15" s="404"/>
      <c r="L15" s="404"/>
      <c r="M15" s="404"/>
      <c r="N15" s="404"/>
      <c r="O15" s="404"/>
      <c r="P15" s="404"/>
      <c r="Q15" s="395"/>
      <c r="R15" s="396"/>
      <c r="S15" s="396"/>
      <c r="T15" s="396"/>
    </row>
    <row r="16" spans="1:20" ht="53.25" customHeight="1">
      <c r="A16" s="395"/>
      <c r="B16" s="497" t="s">
        <v>504</v>
      </c>
      <c r="C16" s="498"/>
      <c r="D16" s="498"/>
      <c r="E16" s="498"/>
      <c r="F16" s="498"/>
      <c r="G16" s="498"/>
      <c r="H16" s="498"/>
      <c r="I16" s="498"/>
      <c r="J16" s="498"/>
      <c r="K16" s="498"/>
      <c r="L16" s="498"/>
      <c r="M16" s="498"/>
      <c r="N16" s="498"/>
      <c r="O16" s="498"/>
      <c r="P16" s="396"/>
      <c r="Q16" s="395"/>
      <c r="R16" s="396"/>
      <c r="S16" s="396"/>
      <c r="T16" s="396"/>
    </row>
    <row r="17" spans="1:20" ht="56.25" customHeight="1">
      <c r="A17" s="395"/>
      <c r="B17" s="505" t="s">
        <v>505</v>
      </c>
      <c r="C17" s="505"/>
      <c r="D17" s="505"/>
      <c r="E17" s="505"/>
      <c r="F17" s="505"/>
      <c r="G17" s="505"/>
      <c r="H17" s="505"/>
      <c r="I17" s="505"/>
      <c r="J17" s="505"/>
      <c r="K17" s="505"/>
      <c r="L17" s="505"/>
      <c r="M17" s="505"/>
      <c r="N17" s="505"/>
      <c r="O17" s="505"/>
      <c r="P17" s="505"/>
      <c r="Q17" s="395"/>
      <c r="R17" s="396"/>
      <c r="S17" s="396"/>
      <c r="T17" s="396"/>
    </row>
    <row r="18" spans="1:20" ht="58.5" customHeight="1">
      <c r="A18" s="395"/>
      <c r="B18" s="490" t="s">
        <v>506</v>
      </c>
      <c r="C18" s="490"/>
      <c r="D18" s="490"/>
      <c r="E18" s="490"/>
      <c r="F18" s="490"/>
      <c r="G18" s="490"/>
      <c r="H18" s="490"/>
      <c r="I18" s="490"/>
      <c r="J18" s="490"/>
      <c r="K18" s="490"/>
      <c r="L18" s="490"/>
      <c r="M18" s="490"/>
      <c r="N18" s="490"/>
      <c r="O18" s="490"/>
      <c r="P18" s="490"/>
      <c r="Q18" s="395"/>
      <c r="R18" s="396"/>
      <c r="S18" s="396"/>
      <c r="T18" s="396"/>
    </row>
    <row r="19" spans="1:20" ht="74.25" customHeight="1">
      <c r="A19" s="395"/>
      <c r="B19" s="495" t="s">
        <v>507</v>
      </c>
      <c r="C19" s="495"/>
      <c r="D19" s="495"/>
      <c r="E19" s="495"/>
      <c r="F19" s="495"/>
      <c r="G19" s="495"/>
      <c r="H19" s="495"/>
      <c r="I19" s="495"/>
      <c r="J19" s="495"/>
      <c r="K19" s="495"/>
      <c r="L19" s="495"/>
      <c r="M19" s="495"/>
      <c r="N19" s="495"/>
      <c r="O19" s="495"/>
      <c r="P19" s="495"/>
      <c r="Q19" s="395"/>
      <c r="R19" s="396"/>
      <c r="S19" s="396"/>
      <c r="T19" s="396"/>
    </row>
    <row r="20" spans="1:20" ht="53.25" customHeight="1">
      <c r="A20" s="395"/>
      <c r="B20" s="491" t="s">
        <v>508</v>
      </c>
      <c r="C20" s="491"/>
      <c r="D20" s="491"/>
      <c r="E20" s="491"/>
      <c r="F20" s="491"/>
      <c r="G20" s="491"/>
      <c r="H20" s="491"/>
      <c r="I20" s="491"/>
      <c r="J20" s="491"/>
      <c r="K20" s="491"/>
      <c r="L20" s="491"/>
      <c r="M20" s="491"/>
      <c r="N20" s="491"/>
      <c r="O20" s="491"/>
      <c r="P20" s="491"/>
      <c r="Q20" s="395"/>
      <c r="R20" s="396"/>
      <c r="S20" s="396"/>
      <c r="T20" s="396"/>
    </row>
    <row r="21" spans="1:20" ht="113.25" customHeight="1">
      <c r="A21" s="395"/>
      <c r="B21" s="495" t="s">
        <v>509</v>
      </c>
      <c r="C21" s="495"/>
      <c r="D21" s="495"/>
      <c r="E21" s="495"/>
      <c r="F21" s="495"/>
      <c r="G21" s="495"/>
      <c r="H21" s="495"/>
      <c r="I21" s="495"/>
      <c r="J21" s="495"/>
      <c r="K21" s="495"/>
      <c r="L21" s="495"/>
      <c r="M21" s="495"/>
      <c r="N21" s="495"/>
      <c r="O21" s="495"/>
      <c r="P21" s="495"/>
      <c r="Q21" s="395"/>
      <c r="R21" s="396"/>
      <c r="S21" s="396"/>
      <c r="T21" s="396"/>
    </row>
    <row r="22" spans="1:20" ht="54.75" customHeight="1">
      <c r="A22" s="395"/>
      <c r="B22" s="491" t="s">
        <v>510</v>
      </c>
      <c r="C22" s="501"/>
      <c r="D22" s="501"/>
      <c r="E22" s="501"/>
      <c r="F22" s="501"/>
      <c r="G22" s="501"/>
      <c r="H22" s="501"/>
      <c r="I22" s="501"/>
      <c r="J22" s="501"/>
      <c r="K22" s="501"/>
      <c r="L22" s="501"/>
      <c r="M22" s="501"/>
      <c r="N22" s="501"/>
      <c r="O22" s="501"/>
      <c r="P22" s="501"/>
      <c r="Q22" s="395"/>
      <c r="R22" s="396"/>
      <c r="S22" s="396"/>
      <c r="T22" s="396"/>
    </row>
    <row r="23" spans="1:20" ht="36" customHeight="1">
      <c r="A23" s="395"/>
      <c r="B23" s="495" t="s">
        <v>511</v>
      </c>
      <c r="C23" s="495"/>
      <c r="D23" s="495"/>
      <c r="E23" s="495"/>
      <c r="F23" s="495"/>
      <c r="G23" s="495"/>
      <c r="H23" s="495"/>
      <c r="I23" s="495"/>
      <c r="J23" s="495"/>
      <c r="K23" s="495"/>
      <c r="L23" s="495"/>
      <c r="M23" s="495"/>
      <c r="N23" s="495"/>
      <c r="O23" s="495"/>
      <c r="P23" s="495"/>
      <c r="Q23" s="395"/>
      <c r="R23" s="396"/>
      <c r="S23" s="396"/>
      <c r="T23" s="396"/>
    </row>
    <row r="24" spans="1:20" ht="51.75" customHeight="1">
      <c r="A24" s="395"/>
      <c r="B24" s="485" t="s">
        <v>512</v>
      </c>
      <c r="C24" s="485"/>
      <c r="D24" s="485"/>
      <c r="E24" s="485"/>
      <c r="F24" s="485"/>
      <c r="G24" s="485"/>
      <c r="H24" s="485"/>
      <c r="I24" s="485"/>
      <c r="J24" s="485"/>
      <c r="K24" s="485"/>
      <c r="L24" s="485"/>
      <c r="M24" s="485"/>
      <c r="N24" s="485"/>
      <c r="O24" s="485"/>
      <c r="P24" s="485"/>
      <c r="Q24" s="395"/>
      <c r="R24" s="396"/>
      <c r="S24" s="396"/>
      <c r="T24" s="396"/>
    </row>
    <row r="25" spans="1:20" ht="15">
      <c r="A25" s="395"/>
      <c r="B25" s="395"/>
      <c r="C25" s="395"/>
      <c r="D25" s="395"/>
      <c r="E25" s="395"/>
      <c r="F25" s="395"/>
      <c r="G25" s="395"/>
      <c r="H25" s="395"/>
      <c r="I25" s="395"/>
      <c r="J25" s="395"/>
      <c r="K25" s="395"/>
      <c r="L25" s="395"/>
      <c r="M25" s="395"/>
      <c r="N25" s="395"/>
      <c r="O25" s="395"/>
      <c r="P25" s="395"/>
      <c r="Q25" s="395"/>
      <c r="R25" s="396"/>
      <c r="S25" s="396"/>
      <c r="T25" s="396"/>
    </row>
  </sheetData>
  <sheetProtection selectLockedCells="1" selectUnlockedCells="1"/>
  <mergeCells count="21">
    <mergeCell ref="R3:X3"/>
    <mergeCell ref="R4:Y6"/>
    <mergeCell ref="B21:P21"/>
    <mergeCell ref="B22:P22"/>
    <mergeCell ref="I10:O10"/>
    <mergeCell ref="B4:P4"/>
    <mergeCell ref="B17:P17"/>
    <mergeCell ref="B2:P2"/>
    <mergeCell ref="B23:P23"/>
    <mergeCell ref="B19:P19"/>
    <mergeCell ref="I9:O9"/>
    <mergeCell ref="B6:H6"/>
    <mergeCell ref="B16:O16"/>
    <mergeCell ref="B24:P24"/>
    <mergeCell ref="B3:O3"/>
    <mergeCell ref="B5:O5"/>
    <mergeCell ref="I7:O7"/>
    <mergeCell ref="I8:O8"/>
    <mergeCell ref="B18:P18"/>
    <mergeCell ref="B20:P20"/>
    <mergeCell ref="I6:O6"/>
  </mergeCells>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8">
    <tabColor rgb="FF002060"/>
  </sheetPr>
  <dimension ref="A1:I8"/>
  <sheetViews>
    <sheetView showGridLines="0" showRowColHeaders="0" zoomScalePageLayoutView="0" workbookViewId="0" topLeftCell="A1">
      <selection activeCell="S5" sqref="S5"/>
    </sheetView>
  </sheetViews>
  <sheetFormatPr defaultColWidth="9.140625" defaultRowHeight="15"/>
  <cols>
    <col min="9" max="9" width="9.140625" style="0" customWidth="1"/>
  </cols>
  <sheetData>
    <row r="1" spans="1:9" ht="15">
      <c r="A1" s="808" t="s">
        <v>561</v>
      </c>
      <c r="B1" s="808"/>
      <c r="C1" s="808"/>
      <c r="D1" s="808"/>
      <c r="E1" s="808"/>
      <c r="F1" s="808"/>
      <c r="G1" s="808"/>
      <c r="H1" s="808"/>
      <c r="I1" s="808"/>
    </row>
    <row r="2" spans="1:9" ht="29.25" customHeight="1">
      <c r="A2" s="808"/>
      <c r="B2" s="808"/>
      <c r="C2" s="808"/>
      <c r="D2" s="808"/>
      <c r="E2" s="808"/>
      <c r="F2" s="808"/>
      <c r="G2" s="808"/>
      <c r="H2" s="808"/>
      <c r="I2" s="808"/>
    </row>
    <row r="3" spans="1:9" ht="12.75" customHeight="1">
      <c r="A3" s="812" t="s">
        <v>560</v>
      </c>
      <c r="B3" s="812"/>
      <c r="C3" s="812"/>
      <c r="D3" s="812"/>
      <c r="E3" s="812"/>
      <c r="F3" s="812"/>
      <c r="G3" s="812"/>
      <c r="H3" s="812"/>
      <c r="I3" s="812"/>
    </row>
    <row r="4" spans="1:9" ht="182.25" customHeight="1">
      <c r="A4" s="809" t="str">
        <f>"                        Received sum of Rs:"&amp;DATA!N139&amp;"/-(Rupees"&amp;RENT!B10&amp;")at the rate of Rs "&amp;DATA!N134&amp;"/- (Rupees: "&amp;RENT!B11&amp;") per month towards the house rent from April-2016 to March -2017 "&amp;DATA!AN3&amp;", "&amp;DATA!AX3&amp;", "&amp;DATA!AM4&amp;", "&amp;DATA!AT4&amp;" Mandal Who is residing in my house at the "&amp;DATA!AM24</f>
        <v>                        Received sum of Rs:94800/-(Rupees  Ninety four Thousand Eight Hundred rupees only)at the rate of Rs 7900/- (Rupees:   Seven Thousand Nine Hundred rupees only) per month towards the house rent from April-2016 to March -2017 G Kishore, SGT, MPPS Chenganapalle, Irala Mandal Who is residing in my house at the D No:1-32, Eguvarooru, G D Nellore 517125</v>
      </c>
      <c r="B4" s="809"/>
      <c r="C4" s="809"/>
      <c r="D4" s="809"/>
      <c r="E4" s="809"/>
      <c r="F4" s="809"/>
      <c r="G4" s="809"/>
      <c r="H4" s="809"/>
      <c r="I4" s="809"/>
    </row>
    <row r="5" spans="1:9" ht="87" customHeight="1">
      <c r="A5" s="811" t="s">
        <v>455</v>
      </c>
      <c r="B5" s="811"/>
      <c r="C5" s="811"/>
      <c r="D5" s="811"/>
      <c r="E5" s="811"/>
      <c r="F5" s="811"/>
      <c r="G5" s="811"/>
      <c r="H5" s="811"/>
      <c r="I5" s="811"/>
    </row>
    <row r="6" spans="1:9" ht="129" customHeight="1">
      <c r="A6" s="808"/>
      <c r="B6" s="808"/>
      <c r="C6" s="808"/>
      <c r="D6" s="808"/>
      <c r="E6" s="808"/>
      <c r="F6" s="808"/>
      <c r="G6" s="808"/>
      <c r="H6" s="808"/>
      <c r="I6" s="808"/>
    </row>
    <row r="7" spans="1:9" ht="197.25" customHeight="1">
      <c r="A7" s="810"/>
      <c r="B7" s="810"/>
      <c r="C7" s="810"/>
      <c r="D7" s="810"/>
      <c r="E7" s="810"/>
      <c r="F7" s="810"/>
      <c r="G7" s="810"/>
      <c r="H7" s="810"/>
      <c r="I7" s="810"/>
    </row>
    <row r="8" spans="1:9" ht="56.25" customHeight="1">
      <c r="A8" s="811"/>
      <c r="B8" s="811"/>
      <c r="C8" s="811"/>
      <c r="D8" s="811"/>
      <c r="E8" s="811"/>
      <c r="F8" s="811"/>
      <c r="G8" s="811"/>
      <c r="H8" s="811"/>
      <c r="I8" s="811"/>
    </row>
  </sheetData>
  <sheetProtection password="92B2" sheet="1" selectLockedCells="1"/>
  <mergeCells count="7">
    <mergeCell ref="A1:I2"/>
    <mergeCell ref="A4:I4"/>
    <mergeCell ref="A6:I6"/>
    <mergeCell ref="A7:I7"/>
    <mergeCell ref="A5:I5"/>
    <mergeCell ref="A8:I8"/>
    <mergeCell ref="A3:I3"/>
  </mergeCells>
  <printOptions/>
  <pageMargins left="0.7" right="0.7" top="0.75" bottom="0.75" header="0.3" footer="0.3"/>
  <pageSetup fitToHeight="0"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J58"/>
  <sheetViews>
    <sheetView showGridLines="0" showRowColHeaders="0" zoomScalePageLayoutView="0" workbookViewId="0" topLeftCell="A1">
      <selection activeCell="A1" sqref="A1:J1"/>
    </sheetView>
  </sheetViews>
  <sheetFormatPr defaultColWidth="9.140625" defaultRowHeight="15"/>
  <cols>
    <col min="1" max="1" width="10.00390625" style="0" customWidth="1"/>
    <col min="2" max="2" width="9.8515625" style="0" customWidth="1"/>
    <col min="7" max="7" width="9.8515625" style="0" customWidth="1"/>
    <col min="8" max="8" width="11.140625" style="0" customWidth="1"/>
    <col min="10" max="10" width="8.421875" style="0" customWidth="1"/>
  </cols>
  <sheetData>
    <row r="1" spans="1:10" ht="18.75">
      <c r="A1" s="924" t="s">
        <v>611</v>
      </c>
      <c r="B1" s="925"/>
      <c r="C1" s="925"/>
      <c r="D1" s="925"/>
      <c r="E1" s="925"/>
      <c r="F1" s="925"/>
      <c r="G1" s="925"/>
      <c r="H1" s="925"/>
      <c r="I1" s="925"/>
      <c r="J1" s="926"/>
    </row>
    <row r="2" spans="1:10" ht="3.75" customHeight="1">
      <c r="A2" s="425"/>
      <c r="B2" s="426"/>
      <c r="C2" s="426"/>
      <c r="D2" s="426"/>
      <c r="E2" s="426"/>
      <c r="F2" s="426"/>
      <c r="G2" s="426"/>
      <c r="H2" s="426"/>
      <c r="I2" s="426"/>
      <c r="J2" s="427"/>
    </row>
    <row r="3" spans="1:10" ht="18.75">
      <c r="A3" s="927" t="s">
        <v>612</v>
      </c>
      <c r="B3" s="928"/>
      <c r="C3" s="928"/>
      <c r="D3" s="928"/>
      <c r="E3" s="928"/>
      <c r="F3" s="928"/>
      <c r="G3" s="928"/>
      <c r="H3" s="928"/>
      <c r="I3" s="928"/>
      <c r="J3" s="929"/>
    </row>
    <row r="4" spans="1:10" ht="16.5">
      <c r="A4" s="930" t="s">
        <v>613</v>
      </c>
      <c r="B4" s="931"/>
      <c r="C4" s="931"/>
      <c r="D4" s="931"/>
      <c r="E4" s="931"/>
      <c r="F4" s="931"/>
      <c r="G4" s="931"/>
      <c r="H4" s="931"/>
      <c r="I4" s="931"/>
      <c r="J4" s="932"/>
    </row>
    <row r="5" spans="1:10" ht="16.5">
      <c r="A5" s="428" t="s">
        <v>614</v>
      </c>
      <c r="B5" s="429"/>
      <c r="C5" s="429"/>
      <c r="D5" s="429"/>
      <c r="E5" s="429"/>
      <c r="F5" s="933" t="str">
        <f>DATA!AN3&amp;", "&amp;DATA!AX3&amp;", "&amp;DATA!AM4</f>
        <v>G Kishore, SGT, MPPS Chenganapalle</v>
      </c>
      <c r="G5" s="933"/>
      <c r="H5" s="933"/>
      <c r="I5" s="933"/>
      <c r="J5" s="934"/>
    </row>
    <row r="6" spans="1:10" ht="16.5">
      <c r="A6" s="430" t="s">
        <v>615</v>
      </c>
      <c r="B6" s="429"/>
      <c r="C6" s="429"/>
      <c r="D6" s="429"/>
      <c r="E6" s="429"/>
      <c r="F6" s="935">
        <f>IF(DATA!AY8="","",DATA!AY8)</f>
      </c>
      <c r="G6" s="935"/>
      <c r="H6" s="935"/>
      <c r="I6" s="935"/>
      <c r="J6" s="936"/>
    </row>
    <row r="7" spans="1:10" ht="18.75">
      <c r="A7" s="937" t="s">
        <v>616</v>
      </c>
      <c r="B7" s="938"/>
      <c r="C7" s="938"/>
      <c r="D7" s="938"/>
      <c r="E7" s="938"/>
      <c r="F7" s="938"/>
      <c r="G7" s="938"/>
      <c r="H7" s="938"/>
      <c r="I7" s="938"/>
      <c r="J7" s="939"/>
    </row>
    <row r="8" spans="1:10" ht="15.75">
      <c r="A8" s="902" t="s">
        <v>617</v>
      </c>
      <c r="B8" s="903"/>
      <c r="C8" s="903"/>
      <c r="D8" s="903"/>
      <c r="E8" s="903"/>
      <c r="F8" s="903"/>
      <c r="G8" s="903"/>
      <c r="H8" s="903"/>
      <c r="I8" s="903"/>
      <c r="J8" s="904"/>
    </row>
    <row r="9" spans="1:10" ht="30">
      <c r="A9" s="431" t="s">
        <v>618</v>
      </c>
      <c r="B9" s="905" t="s">
        <v>619</v>
      </c>
      <c r="C9" s="906"/>
      <c r="D9" s="906"/>
      <c r="E9" s="906"/>
      <c r="F9" s="906"/>
      <c r="G9" s="907"/>
      <c r="H9" s="432" t="s">
        <v>620</v>
      </c>
      <c r="I9" s="905" t="s">
        <v>621</v>
      </c>
      <c r="J9" s="908"/>
    </row>
    <row r="10" spans="1:10" s="484" customFormat="1" ht="9" customHeight="1">
      <c r="A10" s="482" t="s">
        <v>622</v>
      </c>
      <c r="B10" s="909" t="s">
        <v>623</v>
      </c>
      <c r="C10" s="910"/>
      <c r="D10" s="910"/>
      <c r="E10" s="910"/>
      <c r="F10" s="910"/>
      <c r="G10" s="911"/>
      <c r="H10" s="483" t="s">
        <v>624</v>
      </c>
      <c r="I10" s="909" t="s">
        <v>625</v>
      </c>
      <c r="J10" s="912"/>
    </row>
    <row r="11" spans="1:10" ht="15">
      <c r="A11" s="433">
        <v>1</v>
      </c>
      <c r="B11" s="913" t="s">
        <v>626</v>
      </c>
      <c r="C11" s="914"/>
      <c r="D11" s="914"/>
      <c r="E11" s="914"/>
      <c r="F11" s="914"/>
      <c r="G11" s="914"/>
      <c r="H11" s="434"/>
      <c r="I11" s="915" t="s">
        <v>627</v>
      </c>
      <c r="J11" s="916"/>
    </row>
    <row r="12" spans="1:10" ht="15">
      <c r="A12" s="435"/>
      <c r="B12" s="436" t="s">
        <v>628</v>
      </c>
      <c r="C12" s="919" t="s">
        <v>629</v>
      </c>
      <c r="D12" s="863"/>
      <c r="E12" s="920"/>
      <c r="F12" s="921" t="str">
        <f>DATA!N134&amp;"x"&amp;"12"</f>
        <v>7900x12</v>
      </c>
      <c r="G12" s="922"/>
      <c r="H12" s="437">
        <f>DATA!N134*12</f>
        <v>94800</v>
      </c>
      <c r="I12" s="917"/>
      <c r="J12" s="918"/>
    </row>
    <row r="13" spans="1:10" ht="15">
      <c r="A13" s="435"/>
      <c r="B13" s="438" t="s">
        <v>630</v>
      </c>
      <c r="C13" s="923" t="s">
        <v>631</v>
      </c>
      <c r="D13" s="873"/>
      <c r="E13" s="863"/>
      <c r="F13" s="863"/>
      <c r="G13" s="864"/>
      <c r="H13" s="439"/>
      <c r="I13" s="917"/>
      <c r="J13" s="918"/>
    </row>
    <row r="14" spans="1:10" ht="15">
      <c r="A14" s="435"/>
      <c r="B14" s="886" t="s">
        <v>632</v>
      </c>
      <c r="C14" s="888" t="s">
        <v>633</v>
      </c>
      <c r="D14" s="889"/>
      <c r="E14" s="892" t="str">
        <f>DATA!AM24</f>
        <v>D No:1-32, Eguvarooru, G D Nellore 517125</v>
      </c>
      <c r="F14" s="893"/>
      <c r="G14" s="894"/>
      <c r="H14" s="898"/>
      <c r="I14" s="917"/>
      <c r="J14" s="918"/>
    </row>
    <row r="15" spans="1:10" ht="15">
      <c r="A15" s="435"/>
      <c r="B15" s="887"/>
      <c r="C15" s="890"/>
      <c r="D15" s="891"/>
      <c r="E15" s="895"/>
      <c r="F15" s="896"/>
      <c r="G15" s="897"/>
      <c r="H15" s="899"/>
      <c r="I15" s="917"/>
      <c r="J15" s="918"/>
    </row>
    <row r="16" spans="1:10" ht="15">
      <c r="A16" s="435"/>
      <c r="B16" s="438" t="s">
        <v>634</v>
      </c>
      <c r="C16" s="440" t="s">
        <v>635</v>
      </c>
      <c r="D16" s="441"/>
      <c r="E16" s="441"/>
      <c r="F16" s="900"/>
      <c r="G16" s="901"/>
      <c r="H16" s="442"/>
      <c r="I16" s="917"/>
      <c r="J16" s="918"/>
    </row>
    <row r="17" spans="1:10" ht="15">
      <c r="A17" s="435"/>
      <c r="B17" s="874" t="s">
        <v>636</v>
      </c>
      <c r="C17" s="875"/>
      <c r="D17" s="876" t="s">
        <v>637</v>
      </c>
      <c r="E17" s="876"/>
      <c r="F17" s="876"/>
      <c r="G17" s="876"/>
      <c r="H17" s="876"/>
      <c r="I17" s="876"/>
      <c r="J17" s="877"/>
    </row>
    <row r="18" spans="1:10" ht="15">
      <c r="A18" s="443">
        <v>2</v>
      </c>
      <c r="B18" s="878" t="s">
        <v>638</v>
      </c>
      <c r="C18" s="879"/>
      <c r="D18" s="879"/>
      <c r="E18" s="879"/>
      <c r="F18" s="879"/>
      <c r="G18" s="879"/>
      <c r="H18" s="444"/>
      <c r="I18" s="880"/>
      <c r="J18" s="881"/>
    </row>
    <row r="19" spans="1:10" ht="12.75" customHeight="1">
      <c r="A19" s="433">
        <v>3</v>
      </c>
      <c r="B19" s="882" t="s">
        <v>639</v>
      </c>
      <c r="C19" s="883"/>
      <c r="D19" s="883"/>
      <c r="E19" s="883"/>
      <c r="F19" s="883"/>
      <c r="G19" s="883"/>
      <c r="H19" s="445"/>
      <c r="I19" s="884"/>
      <c r="J19" s="885"/>
    </row>
    <row r="20" spans="1:10" ht="12.75" customHeight="1">
      <c r="A20" s="435"/>
      <c r="B20" s="446" t="s">
        <v>640</v>
      </c>
      <c r="C20" s="863" t="s">
        <v>641</v>
      </c>
      <c r="D20" s="863"/>
      <c r="E20" s="863"/>
      <c r="F20" s="863"/>
      <c r="G20" s="863"/>
      <c r="H20" s="437">
        <f>DATA!AU13</f>
        <v>0</v>
      </c>
      <c r="I20" s="869">
        <f>IF(H20&gt;0,"Certificate produced",0)</f>
        <v>0</v>
      </c>
      <c r="J20" s="870"/>
    </row>
    <row r="21" spans="1:10" ht="12.75" customHeight="1">
      <c r="A21" s="435"/>
      <c r="B21" s="447" t="s">
        <v>630</v>
      </c>
      <c r="C21" s="863" t="s">
        <v>642</v>
      </c>
      <c r="D21" s="863"/>
      <c r="E21" s="863" t="s">
        <v>643</v>
      </c>
      <c r="F21" s="863"/>
      <c r="G21" s="864"/>
      <c r="H21" s="439"/>
      <c r="I21" s="871"/>
      <c r="J21" s="872"/>
    </row>
    <row r="22" spans="1:10" ht="12.75" customHeight="1">
      <c r="A22" s="435"/>
      <c r="B22" s="447" t="s">
        <v>632</v>
      </c>
      <c r="C22" s="873" t="s">
        <v>644</v>
      </c>
      <c r="D22" s="873"/>
      <c r="E22" s="863"/>
      <c r="F22" s="863"/>
      <c r="G22" s="864"/>
      <c r="H22" s="439"/>
      <c r="I22" s="871"/>
      <c r="J22" s="872"/>
    </row>
    <row r="23" spans="1:10" ht="12.75" customHeight="1">
      <c r="A23" s="435"/>
      <c r="B23" s="446" t="s">
        <v>634</v>
      </c>
      <c r="C23" s="448" t="s">
        <v>645</v>
      </c>
      <c r="D23" s="448"/>
      <c r="E23" s="448"/>
      <c r="F23" s="448"/>
      <c r="G23" s="449"/>
      <c r="H23" s="437"/>
      <c r="I23" s="861"/>
      <c r="J23" s="862"/>
    </row>
    <row r="24" spans="1:10" ht="12.75" customHeight="1">
      <c r="A24" s="435"/>
      <c r="B24" s="450" t="s">
        <v>98</v>
      </c>
      <c r="C24" s="863" t="s">
        <v>646</v>
      </c>
      <c r="D24" s="863"/>
      <c r="E24" s="863"/>
      <c r="F24" s="863"/>
      <c r="G24" s="864"/>
      <c r="H24" s="437"/>
      <c r="I24" s="861"/>
      <c r="J24" s="862"/>
    </row>
    <row r="25" spans="1:10" ht="12.75" customHeight="1">
      <c r="A25" s="435"/>
      <c r="B25" s="450" t="s">
        <v>99</v>
      </c>
      <c r="C25" s="863" t="s">
        <v>647</v>
      </c>
      <c r="D25" s="863"/>
      <c r="E25" s="863"/>
      <c r="F25" s="863"/>
      <c r="G25" s="864"/>
      <c r="H25" s="437"/>
      <c r="I25" s="861"/>
      <c r="J25" s="862"/>
    </row>
    <row r="26" spans="1:10" ht="12.75" customHeight="1">
      <c r="A26" s="451"/>
      <c r="B26" s="452" t="s">
        <v>648</v>
      </c>
      <c r="C26" s="865" t="s">
        <v>24</v>
      </c>
      <c r="D26" s="865"/>
      <c r="E26" s="865"/>
      <c r="F26" s="865"/>
      <c r="G26" s="866"/>
      <c r="H26" s="453"/>
      <c r="I26" s="867"/>
      <c r="J26" s="868"/>
    </row>
    <row r="27" spans="1:10" ht="12.75" customHeight="1">
      <c r="A27" s="435">
        <v>4</v>
      </c>
      <c r="B27" s="851" t="s">
        <v>649</v>
      </c>
      <c r="C27" s="852"/>
      <c r="D27" s="852"/>
      <c r="E27" s="852"/>
      <c r="F27" s="852"/>
      <c r="G27" s="853"/>
      <c r="H27" s="454"/>
      <c r="I27" s="854"/>
      <c r="J27" s="855"/>
    </row>
    <row r="28" spans="1:10" ht="15">
      <c r="A28" s="435"/>
      <c r="B28" s="856" t="s">
        <v>650</v>
      </c>
      <c r="C28" s="857"/>
      <c r="D28" s="857"/>
      <c r="E28" s="857"/>
      <c r="F28" s="857"/>
      <c r="G28" s="858"/>
      <c r="H28" s="455"/>
      <c r="I28" s="839"/>
      <c r="J28" s="840"/>
    </row>
    <row r="29" spans="1:10" ht="12.75" customHeight="1">
      <c r="A29" s="435"/>
      <c r="B29" s="446" t="s">
        <v>640</v>
      </c>
      <c r="C29" s="456" t="s">
        <v>98</v>
      </c>
      <c r="D29" s="859" t="str">
        <f>'Income Tax Form'!C22</f>
        <v>ZPPF</v>
      </c>
      <c r="E29" s="859"/>
      <c r="F29" s="859"/>
      <c r="G29" s="860"/>
      <c r="H29" s="457">
        <f>'Income Tax Form'!K22</f>
        <v>161200</v>
      </c>
      <c r="I29" s="845" t="str">
        <f>IF(H29&gt;0,"Salary Deduction",0)</f>
        <v>Salary Deduction</v>
      </c>
      <c r="J29" s="846"/>
    </row>
    <row r="30" spans="1:10" ht="12.75" customHeight="1">
      <c r="A30" s="435"/>
      <c r="B30" s="458"/>
      <c r="C30" s="456" t="s">
        <v>99</v>
      </c>
      <c r="D30" s="459" t="str">
        <f>'Income Tax Form'!C23</f>
        <v>APGLI</v>
      </c>
      <c r="E30" s="460"/>
      <c r="F30" s="460"/>
      <c r="G30" s="461"/>
      <c r="H30" s="457">
        <f>'Income Tax Form'!K23</f>
        <v>5400</v>
      </c>
      <c r="I30" s="847" t="str">
        <f>IF(H30&gt;0,"Salary Deduction",0)</f>
        <v>Salary Deduction</v>
      </c>
      <c r="J30" s="848"/>
    </row>
    <row r="31" spans="1:10" ht="12.75" customHeight="1">
      <c r="A31" s="435"/>
      <c r="B31" s="458"/>
      <c r="C31" s="456" t="s">
        <v>100</v>
      </c>
      <c r="D31" s="459" t="str">
        <f>'Income Tax Form'!C24</f>
        <v>GIS</v>
      </c>
      <c r="E31" s="460"/>
      <c r="F31" s="460"/>
      <c r="G31" s="461"/>
      <c r="H31" s="457">
        <f>'Income Tax Form'!K24</f>
        <v>720</v>
      </c>
      <c r="I31" s="849" t="str">
        <f>IF(H31&gt;0,"Salary Deduction",0)</f>
        <v>Salary Deduction</v>
      </c>
      <c r="J31" s="850"/>
    </row>
    <row r="32" spans="1:10" ht="12.75" customHeight="1">
      <c r="A32" s="435"/>
      <c r="B32" s="458"/>
      <c r="C32" s="456" t="s">
        <v>107</v>
      </c>
      <c r="D32" s="459" t="str">
        <f>'Income Tax Form'!C25</f>
        <v>PLI Annual Premuim</v>
      </c>
      <c r="E32" s="460"/>
      <c r="F32" s="460"/>
      <c r="G32" s="461"/>
      <c r="H32" s="457">
        <f>'Income Tax Form'!K25</f>
        <v>0</v>
      </c>
      <c r="I32" s="845">
        <f>IF(H32&gt;0,"Certificate produced",0)</f>
        <v>0</v>
      </c>
      <c r="J32" s="846"/>
    </row>
    <row r="33" spans="1:10" ht="12.75" customHeight="1">
      <c r="A33" s="435"/>
      <c r="B33" s="458"/>
      <c r="C33" s="456" t="s">
        <v>108</v>
      </c>
      <c r="D33" s="459" t="str">
        <f>'Income Tax Form'!C26</f>
        <v>Tution Fee for 2 Chidren</v>
      </c>
      <c r="E33" s="460"/>
      <c r="F33" s="460"/>
      <c r="G33" s="461"/>
      <c r="H33" s="457">
        <f>'Income Tax Form'!K26</f>
        <v>0</v>
      </c>
      <c r="I33" s="845">
        <f aca="true" t="shared" si="0" ref="I33:I39">IF(H33&gt;0,"Reciept produced",0)</f>
        <v>0</v>
      </c>
      <c r="J33" s="846"/>
    </row>
    <row r="34" spans="1:10" ht="12.75" customHeight="1">
      <c r="A34" s="435"/>
      <c r="B34" s="458"/>
      <c r="C34" s="456" t="s">
        <v>109</v>
      </c>
      <c r="D34" s="459" t="str">
        <f>'Income Tax Form'!C27</f>
        <v>LIC Annual Premiums </v>
      </c>
      <c r="E34" s="460"/>
      <c r="F34" s="460"/>
      <c r="G34" s="461"/>
      <c r="H34" s="457">
        <f>'Income Tax Form'!K27</f>
        <v>0</v>
      </c>
      <c r="I34" s="845">
        <f t="shared" si="0"/>
        <v>0</v>
      </c>
      <c r="J34" s="846"/>
    </row>
    <row r="35" spans="1:10" ht="12.75" customHeight="1">
      <c r="A35" s="435"/>
      <c r="B35" s="458"/>
      <c r="C35" s="456" t="s">
        <v>110</v>
      </c>
      <c r="D35" s="459" t="str">
        <f>'Income Tax Form'!C28</f>
        <v>Repayment of Home Loan Premium</v>
      </c>
      <c r="E35" s="460"/>
      <c r="F35" s="460"/>
      <c r="G35" s="461"/>
      <c r="H35" s="457">
        <f>'Income Tax Form'!K28</f>
        <v>0</v>
      </c>
      <c r="I35" s="845">
        <f t="shared" si="0"/>
        <v>0</v>
      </c>
      <c r="J35" s="846"/>
    </row>
    <row r="36" spans="1:10" ht="12.75" customHeight="1">
      <c r="A36" s="435"/>
      <c r="B36" s="458"/>
      <c r="C36" s="456" t="s">
        <v>111</v>
      </c>
      <c r="D36" s="844" t="str">
        <f>'Income Tax Form'!C29</f>
        <v>5 Years Fixed Deposits </v>
      </c>
      <c r="E36" s="844"/>
      <c r="F36" s="844"/>
      <c r="G36" s="461" t="s">
        <v>651</v>
      </c>
      <c r="H36" s="457">
        <f>'Income Tax Form'!K29</f>
        <v>0</v>
      </c>
      <c r="I36" s="845">
        <f t="shared" si="0"/>
        <v>0</v>
      </c>
      <c r="J36" s="846"/>
    </row>
    <row r="37" spans="1:10" ht="12.75" customHeight="1">
      <c r="A37" s="435"/>
      <c r="B37" s="458"/>
      <c r="C37" s="456" t="s">
        <v>113</v>
      </c>
      <c r="D37" s="462" t="str">
        <f>'Income Tax Form'!C30</f>
        <v>Repayment of Home Loan Premium</v>
      </c>
      <c r="E37" s="462"/>
      <c r="F37" s="462"/>
      <c r="G37" s="461"/>
      <c r="H37" s="457">
        <f>'Income Tax Form'!K30</f>
        <v>0</v>
      </c>
      <c r="I37" s="845">
        <f t="shared" si="0"/>
        <v>0</v>
      </c>
      <c r="J37" s="846"/>
    </row>
    <row r="38" spans="1:10" ht="12.75" customHeight="1">
      <c r="A38" s="435"/>
      <c r="B38" s="458"/>
      <c r="C38" s="456" t="s">
        <v>114</v>
      </c>
      <c r="D38" s="462" t="str">
        <f>'Income Tax Form'!C31</f>
        <v>Others U/s 80 C</v>
      </c>
      <c r="E38" s="462"/>
      <c r="F38" s="462"/>
      <c r="G38" s="461"/>
      <c r="H38" s="457">
        <f>'Income Tax Form'!K31</f>
        <v>0</v>
      </c>
      <c r="I38" s="845">
        <f t="shared" si="0"/>
        <v>0</v>
      </c>
      <c r="J38" s="846"/>
    </row>
    <row r="39" spans="1:10" ht="12.75" customHeight="1">
      <c r="A39" s="435"/>
      <c r="B39" s="458"/>
      <c r="C39" s="456" t="s">
        <v>115</v>
      </c>
      <c r="D39" s="462" t="str">
        <f>'Income Tax Form'!C32</f>
        <v>Others if any</v>
      </c>
      <c r="E39" s="462"/>
      <c r="F39" s="462"/>
      <c r="G39" s="461"/>
      <c r="H39" s="457">
        <f>'Income Tax Form'!K32</f>
        <v>0</v>
      </c>
      <c r="I39" s="845">
        <f t="shared" si="0"/>
        <v>0</v>
      </c>
      <c r="J39" s="846"/>
    </row>
    <row r="40" spans="1:10" ht="15">
      <c r="A40" s="435"/>
      <c r="B40" s="464" t="s">
        <v>632</v>
      </c>
      <c r="C40" s="841" t="s">
        <v>201</v>
      </c>
      <c r="D40" s="841"/>
      <c r="E40" s="460" t="s">
        <v>651</v>
      </c>
      <c r="F40" s="842" t="s">
        <v>651</v>
      </c>
      <c r="G40" s="843"/>
      <c r="H40" s="463" t="s">
        <v>651</v>
      </c>
      <c r="I40" s="839"/>
      <c r="J40" s="840"/>
    </row>
    <row r="41" spans="1:10" ht="15">
      <c r="A41" s="435"/>
      <c r="B41" s="836" t="s">
        <v>652</v>
      </c>
      <c r="C41" s="837"/>
      <c r="D41" s="837"/>
      <c r="E41" s="837"/>
      <c r="F41" s="837"/>
      <c r="G41" s="837"/>
      <c r="H41" s="838"/>
      <c r="I41" s="839"/>
      <c r="J41" s="840"/>
    </row>
    <row r="42" spans="1:10" ht="12.75" customHeight="1">
      <c r="A42" s="435"/>
      <c r="B42" s="465"/>
      <c r="C42" s="466" t="s">
        <v>628</v>
      </c>
      <c r="D42" s="467" t="str">
        <f>'Income Tax Form'!C36</f>
        <v>Medical Insurance Premium          Rs</v>
      </c>
      <c r="E42" s="468"/>
      <c r="F42" s="468"/>
      <c r="G42" s="468"/>
      <c r="H42" s="469">
        <f>'Income Tax Form'!K36</f>
        <v>0</v>
      </c>
      <c r="I42" s="834">
        <f>IF(H42&gt;0,"Certificate produced",0)</f>
        <v>0</v>
      </c>
      <c r="J42" s="835"/>
    </row>
    <row r="43" spans="1:10" ht="12.75" customHeight="1">
      <c r="A43" s="435"/>
      <c r="B43" s="465"/>
      <c r="C43" s="466" t="s">
        <v>630</v>
      </c>
      <c r="D43" s="467" t="str">
        <f>'Income Tax Form'!C37</f>
        <v>Expenditure on medical treatment    Rs</v>
      </c>
      <c r="E43" s="468"/>
      <c r="F43" s="468"/>
      <c r="G43" s="468"/>
      <c r="H43" s="469">
        <f>'Income Tax Form'!K37</f>
        <v>0</v>
      </c>
      <c r="I43" s="834">
        <f>IF(H43&gt;0,"Certificate produced",0)</f>
        <v>0</v>
      </c>
      <c r="J43" s="835"/>
    </row>
    <row r="44" spans="1:10" ht="12.75" customHeight="1">
      <c r="A44" s="435"/>
      <c r="B44" s="465"/>
      <c r="C44" s="466" t="s">
        <v>632</v>
      </c>
      <c r="D44" s="467" t="str">
        <f>'Income Tax Form'!C38</f>
        <v>Donation of Charitable Institution       Rs</v>
      </c>
      <c r="E44" s="468"/>
      <c r="F44" s="468"/>
      <c r="G44" s="468"/>
      <c r="H44" s="469">
        <f>'Income Tax Form'!K38</f>
        <v>0</v>
      </c>
      <c r="I44" s="832">
        <f>IF(H44&gt;0,"Certificate produced",0)</f>
        <v>0</v>
      </c>
      <c r="J44" s="833"/>
    </row>
    <row r="45" spans="1:10" ht="12.75" customHeight="1">
      <c r="A45" s="435"/>
      <c r="B45" s="465"/>
      <c r="C45" s="466" t="s">
        <v>634</v>
      </c>
      <c r="D45" s="470" t="str">
        <f>'Income Tax Form'!C39</f>
        <v>Interest on Educational Loan         Rs</v>
      </c>
      <c r="E45" s="468"/>
      <c r="F45" s="468"/>
      <c r="G45" s="468"/>
      <c r="H45" s="469">
        <f>'Income Tax Form'!K39</f>
        <v>0</v>
      </c>
      <c r="I45" s="832">
        <f>IF(H45&gt;0,"Certificate produced",0)</f>
        <v>0</v>
      </c>
      <c r="J45" s="833"/>
    </row>
    <row r="46" spans="1:10" ht="12.75" customHeight="1">
      <c r="A46" s="435"/>
      <c r="B46" s="471"/>
      <c r="C46" s="472" t="s">
        <v>653</v>
      </c>
      <c r="D46" s="473" t="str">
        <f>'Income Tax Form'!C40</f>
        <v>Rajiv Gandhi Equity Savings Scheme
(RGESS)</v>
      </c>
      <c r="E46" s="474"/>
      <c r="F46" s="474"/>
      <c r="G46" s="474"/>
      <c r="H46" s="469">
        <f>'Income Tax Form'!K40</f>
        <v>0</v>
      </c>
      <c r="I46" s="832">
        <f>IF(H46&gt;0,"True copy produced",0)</f>
        <v>0</v>
      </c>
      <c r="J46" s="833"/>
    </row>
    <row r="47" spans="1:10" ht="12.75" customHeight="1">
      <c r="A47" s="435"/>
      <c r="B47" s="471"/>
      <c r="C47" s="472" t="s">
        <v>654</v>
      </c>
      <c r="D47" s="473" t="str">
        <f>'Income Tax Form'!C41</f>
        <v>Medical treatment U/s                   Rs</v>
      </c>
      <c r="E47" s="474"/>
      <c r="F47" s="474"/>
      <c r="G47" s="474"/>
      <c r="H47" s="469">
        <f>'Income Tax Form'!K41</f>
        <v>0</v>
      </c>
      <c r="I47" s="832">
        <f>IF(H47&gt;0,"Certificate produced",0)</f>
        <v>0</v>
      </c>
      <c r="J47" s="833"/>
    </row>
    <row r="48" spans="1:10" ht="12.75" customHeight="1">
      <c r="A48" s="435"/>
      <c r="B48" s="471"/>
      <c r="C48" s="472" t="s">
        <v>655</v>
      </c>
      <c r="D48" s="473" t="str">
        <f>'Income Tax Form'!C42</f>
        <v>Maintaince and expenditure treatment for disabled dependent                       Rs</v>
      </c>
      <c r="E48" s="474"/>
      <c r="F48" s="474"/>
      <c r="G48" s="474"/>
      <c r="H48" s="469">
        <f>'Income Tax Form'!K42</f>
        <v>0</v>
      </c>
      <c r="I48" s="834">
        <f>IF(H48&gt;0,"Salary Deduction",0)</f>
        <v>0</v>
      </c>
      <c r="J48" s="835"/>
    </row>
    <row r="49" spans="1:10" ht="12.75" customHeight="1">
      <c r="A49" s="435"/>
      <c r="B49" s="471"/>
      <c r="C49" s="472" t="s">
        <v>656</v>
      </c>
      <c r="D49" s="473" t="str">
        <f>'Income Tax Form'!C43</f>
        <v>E.W.F, S.W.F , CMRF &amp; EHF(80D)</v>
      </c>
      <c r="E49" s="474"/>
      <c r="F49" s="474"/>
      <c r="G49" s="474"/>
      <c r="H49" s="469">
        <f>'Income Tax Form'!K43</f>
        <v>1150</v>
      </c>
      <c r="I49" s="834" t="str">
        <f>IF(H49&gt;0,"Salary Deduction",0)</f>
        <v>Salary Deduction</v>
      </c>
      <c r="J49" s="835"/>
    </row>
    <row r="50" spans="1:10" ht="12.75" customHeight="1">
      <c r="A50" s="435"/>
      <c r="B50" s="471"/>
      <c r="C50" s="472" t="s">
        <v>657</v>
      </c>
      <c r="D50" s="473" t="str">
        <f>'Income Tax Form'!C44</f>
        <v>Investment in long term infrastructure bonds Us 80CCF</v>
      </c>
      <c r="E50" s="474"/>
      <c r="F50" s="474"/>
      <c r="G50" s="474"/>
      <c r="H50" s="469">
        <f>'Income Tax Form'!K44</f>
        <v>0</v>
      </c>
      <c r="I50" s="834">
        <f>IF(H50&gt;0,"Salary Deduction",0)</f>
        <v>0</v>
      </c>
      <c r="J50" s="835"/>
    </row>
    <row r="51" spans="1:10" ht="12.75" customHeight="1">
      <c r="A51" s="435"/>
      <c r="B51" s="465"/>
      <c r="C51" s="466" t="s">
        <v>658</v>
      </c>
      <c r="D51" s="470" t="str">
        <f>'Income Tax Form'!C45</f>
        <v>Addl Deduction for CPS Contribution Upto Rs.50,000/-(80CCD(1B))</v>
      </c>
      <c r="E51" s="468"/>
      <c r="F51" s="468"/>
      <c r="G51" s="468"/>
      <c r="H51" s="469">
        <f>'Income Tax Form'!K45</f>
      </c>
      <c r="I51" s="832" t="str">
        <f>IF(H51&gt;0,"Salary Deduction",0)</f>
        <v>Salary Deduction</v>
      </c>
      <c r="J51" s="833"/>
    </row>
    <row r="52" spans="1:10" ht="16.5">
      <c r="A52" s="817" t="s">
        <v>659</v>
      </c>
      <c r="B52" s="818"/>
      <c r="C52" s="818"/>
      <c r="D52" s="818"/>
      <c r="E52" s="818"/>
      <c r="F52" s="818"/>
      <c r="G52" s="818"/>
      <c r="H52" s="818"/>
      <c r="I52" s="818"/>
      <c r="J52" s="819"/>
    </row>
    <row r="53" spans="1:10" ht="15">
      <c r="A53" s="820" t="str">
        <f>"I, "&amp;DATA!AN3&amp;", "&amp;DATA!AX3&amp;" do here by certify that the in formation given above is complete and correct."</f>
        <v>I, G Kishore, SGT do here by certify that the in formation given above is complete and correct.</v>
      </c>
      <c r="B53" s="821"/>
      <c r="C53" s="821"/>
      <c r="D53" s="821"/>
      <c r="E53" s="821"/>
      <c r="F53" s="821"/>
      <c r="G53" s="821"/>
      <c r="H53" s="821"/>
      <c r="I53" s="821"/>
      <c r="J53" s="822"/>
    </row>
    <row r="54" spans="1:10" ht="15">
      <c r="A54" s="823"/>
      <c r="B54" s="824"/>
      <c r="C54" s="824"/>
      <c r="D54" s="824"/>
      <c r="E54" s="824"/>
      <c r="F54" s="824"/>
      <c r="G54" s="824"/>
      <c r="H54" s="824"/>
      <c r="I54" s="824"/>
      <c r="J54" s="825"/>
    </row>
    <row r="55" spans="1:10" ht="15">
      <c r="A55" s="475" t="s">
        <v>660</v>
      </c>
      <c r="B55" s="826"/>
      <c r="C55" s="826"/>
      <c r="D55" s="826"/>
      <c r="E55" s="826"/>
      <c r="F55" s="476"/>
      <c r="G55" s="476"/>
      <c r="H55" s="827"/>
      <c r="I55" s="827"/>
      <c r="J55" s="828"/>
    </row>
    <row r="56" spans="1:10" ht="15">
      <c r="A56" s="477" t="s">
        <v>274</v>
      </c>
      <c r="B56" s="829">
        <f ca="1">TODAY()</f>
        <v>42771</v>
      </c>
      <c r="C56" s="829"/>
      <c r="D56" s="829"/>
      <c r="E56" s="478"/>
      <c r="F56" s="478"/>
      <c r="G56" s="830"/>
      <c r="H56" s="830"/>
      <c r="I56" s="830"/>
      <c r="J56" s="831"/>
    </row>
    <row r="57" spans="1:10" ht="15">
      <c r="A57" s="477"/>
      <c r="B57" s="478"/>
      <c r="C57" s="478"/>
      <c r="D57" s="478"/>
      <c r="E57" s="478"/>
      <c r="F57" s="478"/>
      <c r="G57" s="813" t="s">
        <v>661</v>
      </c>
      <c r="H57" s="813"/>
      <c r="I57" s="813"/>
      <c r="J57" s="814"/>
    </row>
    <row r="58" spans="1:10" ht="27.75" thickBot="1">
      <c r="A58" s="479" t="s">
        <v>662</v>
      </c>
      <c r="B58" s="480"/>
      <c r="C58" s="480"/>
      <c r="D58" s="815"/>
      <c r="E58" s="815"/>
      <c r="F58" s="481" t="s">
        <v>663</v>
      </c>
      <c r="G58" s="815" t="str">
        <f>DATA!AN3</f>
        <v>G Kishore</v>
      </c>
      <c r="H58" s="815"/>
      <c r="I58" s="815"/>
      <c r="J58" s="816"/>
    </row>
  </sheetData>
  <sheetProtection/>
  <mergeCells count="82">
    <mergeCell ref="A1:J1"/>
    <mergeCell ref="A3:J3"/>
    <mergeCell ref="A4:J4"/>
    <mergeCell ref="F5:J5"/>
    <mergeCell ref="F6:J6"/>
    <mergeCell ref="A7:J7"/>
    <mergeCell ref="A8:J8"/>
    <mergeCell ref="B9:G9"/>
    <mergeCell ref="I9:J9"/>
    <mergeCell ref="B10:G10"/>
    <mergeCell ref="I10:J10"/>
    <mergeCell ref="B11:G11"/>
    <mergeCell ref="I11:J16"/>
    <mergeCell ref="C12:E12"/>
    <mergeCell ref="F12:G12"/>
    <mergeCell ref="C13:D13"/>
    <mergeCell ref="E13:G13"/>
    <mergeCell ref="B14:B15"/>
    <mergeCell ref="C14:D15"/>
    <mergeCell ref="E14:G15"/>
    <mergeCell ref="H14:H15"/>
    <mergeCell ref="F16:G16"/>
    <mergeCell ref="B17:C17"/>
    <mergeCell ref="D17:J17"/>
    <mergeCell ref="B18:G18"/>
    <mergeCell ref="I18:J18"/>
    <mergeCell ref="B19:G19"/>
    <mergeCell ref="I19:J19"/>
    <mergeCell ref="C20:G20"/>
    <mergeCell ref="I20:J22"/>
    <mergeCell ref="C21:D21"/>
    <mergeCell ref="E21:G21"/>
    <mergeCell ref="C22:D22"/>
    <mergeCell ref="E22:G22"/>
    <mergeCell ref="I23:J23"/>
    <mergeCell ref="C24:G24"/>
    <mergeCell ref="I24:J24"/>
    <mergeCell ref="C25:G25"/>
    <mergeCell ref="I25:J25"/>
    <mergeCell ref="C26:G26"/>
    <mergeCell ref="I26:J26"/>
    <mergeCell ref="B27:G27"/>
    <mergeCell ref="I27:J27"/>
    <mergeCell ref="B28:G28"/>
    <mergeCell ref="I28:J28"/>
    <mergeCell ref="D29:G29"/>
    <mergeCell ref="I29:J29"/>
    <mergeCell ref="I30:J30"/>
    <mergeCell ref="I31:J31"/>
    <mergeCell ref="I32:J32"/>
    <mergeCell ref="I33:J33"/>
    <mergeCell ref="I34:J34"/>
    <mergeCell ref="I35:J35"/>
    <mergeCell ref="C40:D40"/>
    <mergeCell ref="F40:G40"/>
    <mergeCell ref="I40:J40"/>
    <mergeCell ref="D36:F36"/>
    <mergeCell ref="I36:J36"/>
    <mergeCell ref="I37:J37"/>
    <mergeCell ref="I38:J38"/>
    <mergeCell ref="I39:J39"/>
    <mergeCell ref="B41:H41"/>
    <mergeCell ref="I41:J41"/>
    <mergeCell ref="I42:J42"/>
    <mergeCell ref="I43:J43"/>
    <mergeCell ref="I44:J44"/>
    <mergeCell ref="I45:J45"/>
    <mergeCell ref="I46:J46"/>
    <mergeCell ref="I47:J47"/>
    <mergeCell ref="I48:J48"/>
    <mergeCell ref="I49:J49"/>
    <mergeCell ref="I50:J50"/>
    <mergeCell ref="I51:J51"/>
    <mergeCell ref="G57:J57"/>
    <mergeCell ref="D58:E58"/>
    <mergeCell ref="G58:J58"/>
    <mergeCell ref="A52:J52"/>
    <mergeCell ref="A53:J54"/>
    <mergeCell ref="B55:E55"/>
    <mergeCell ref="H55:J55"/>
    <mergeCell ref="B56:D56"/>
    <mergeCell ref="G56:J56"/>
  </mergeCells>
  <printOptions/>
  <pageMargins left="0.7" right="0.7" top="0.75" bottom="0.75" header="0.3" footer="0.3"/>
  <pageSetup fitToWidth="0" fitToHeight="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codeName="Sheet6">
    <pageSetUpPr fitToPage="1"/>
  </sheetPr>
  <dimension ref="A1:AD174"/>
  <sheetViews>
    <sheetView showGridLines="0" showRowColHeaders="0" zoomScalePageLayoutView="0" workbookViewId="0" topLeftCell="A1">
      <selection activeCell="O7" sqref="O7"/>
    </sheetView>
  </sheetViews>
  <sheetFormatPr defaultColWidth="9.140625" defaultRowHeight="15"/>
  <cols>
    <col min="1" max="1" width="6.57421875" style="49" customWidth="1"/>
    <col min="2" max="2" width="6.140625" style="49" customWidth="1"/>
    <col min="3" max="3" width="6.00390625" style="49" customWidth="1"/>
    <col min="4" max="4" width="5.00390625" style="49" customWidth="1"/>
    <col min="5" max="5" width="5.7109375" style="49" customWidth="1"/>
    <col min="6" max="6" width="7.140625" style="49" customWidth="1"/>
    <col min="7" max="7" width="5.8515625" style="49" customWidth="1"/>
    <col min="8" max="8" width="6.7109375" style="49" customWidth="1"/>
    <col min="9" max="10" width="5.8515625" style="49" customWidth="1"/>
    <col min="11" max="11" width="6.8515625" style="49" customWidth="1"/>
    <col min="12" max="13" width="6.7109375" style="49" customWidth="1"/>
    <col min="14" max="14" width="5.28125" style="49" customWidth="1"/>
    <col min="15" max="15" width="6.8515625" style="49" customWidth="1"/>
    <col min="16" max="20" width="5.28125" style="49" customWidth="1"/>
    <col min="21" max="21" width="3.140625" style="49" hidden="1" customWidth="1"/>
    <col min="22" max="23" width="7.8515625" style="49" hidden="1" customWidth="1"/>
    <col min="24" max="24" width="5.140625" style="49" hidden="1" customWidth="1"/>
    <col min="25" max="25" width="11.8515625" style="49" hidden="1" customWidth="1"/>
    <col min="26" max="26" width="10.57421875" style="49" hidden="1" customWidth="1"/>
    <col min="27" max="27" width="14.28125" style="49" hidden="1" customWidth="1"/>
    <col min="28" max="28" width="15.8515625" style="49" hidden="1" customWidth="1"/>
    <col min="29" max="29" width="15.421875" style="49" hidden="1" customWidth="1"/>
    <col min="30" max="30" width="132.28125" style="49" hidden="1" customWidth="1"/>
    <col min="31" max="71" width="9.140625" style="49" hidden="1" customWidth="1"/>
    <col min="72" max="111" width="9.140625" style="49" customWidth="1"/>
    <col min="112" max="16384" width="9.140625" style="49" customWidth="1"/>
  </cols>
  <sheetData>
    <row r="1" spans="1:15" ht="15" customHeight="1">
      <c r="A1" s="954" t="s">
        <v>269</v>
      </c>
      <c r="B1" s="955"/>
      <c r="C1" s="955"/>
      <c r="D1" s="955"/>
      <c r="E1" s="955"/>
      <c r="F1" s="955"/>
      <c r="G1" s="955"/>
      <c r="H1" s="955"/>
      <c r="I1" s="955"/>
      <c r="J1" s="955"/>
      <c r="K1" s="955"/>
      <c r="L1" s="955"/>
      <c r="M1" s="955"/>
      <c r="N1" s="955"/>
      <c r="O1" s="955"/>
    </row>
    <row r="2" spans="1:15" ht="15" customHeight="1">
      <c r="A2" s="954"/>
      <c r="B2" s="955"/>
      <c r="C2" s="955"/>
      <c r="D2" s="955"/>
      <c r="E2" s="955"/>
      <c r="F2" s="955"/>
      <c r="G2" s="955"/>
      <c r="H2" s="955"/>
      <c r="I2" s="955"/>
      <c r="J2" s="955"/>
      <c r="K2" s="955"/>
      <c r="L2" s="955"/>
      <c r="M2" s="955"/>
      <c r="N2" s="955"/>
      <c r="O2" s="955"/>
    </row>
    <row r="3" spans="1:15" ht="30.75" customHeight="1" thickBot="1">
      <c r="A3" s="956" t="s">
        <v>270</v>
      </c>
      <c r="B3" s="957"/>
      <c r="C3" s="957"/>
      <c r="D3" s="957"/>
      <c r="E3" s="957"/>
      <c r="F3" s="957"/>
      <c r="G3" s="957"/>
      <c r="H3" s="290"/>
      <c r="I3" s="290"/>
      <c r="J3" s="958"/>
      <c r="K3" s="958"/>
      <c r="L3" s="958"/>
      <c r="M3" s="958"/>
      <c r="N3" s="958"/>
      <c r="O3" s="958"/>
    </row>
    <row r="4" spans="1:15" ht="58.5" customHeight="1" thickTop="1">
      <c r="A4" s="959" t="s">
        <v>271</v>
      </c>
      <c r="B4" s="960"/>
      <c r="C4" s="960"/>
      <c r="D4" s="960"/>
      <c r="E4" s="960"/>
      <c r="F4" s="960"/>
      <c r="G4" s="960"/>
      <c r="H4" s="960"/>
      <c r="I4" s="960"/>
      <c r="J4" s="960"/>
      <c r="K4" s="960"/>
      <c r="L4" s="960"/>
      <c r="M4" s="960"/>
      <c r="N4" s="960"/>
      <c r="O4" s="961"/>
    </row>
    <row r="5" spans="1:18" ht="33" customHeight="1">
      <c r="A5" s="962" t="str">
        <f>CONCATENATE(V8,"% D.A TABLE FROM  ",AC8)</f>
        <v>77.896% D.A TABLE FROM  October_2014</v>
      </c>
      <c r="B5" s="963"/>
      <c r="C5" s="963"/>
      <c r="D5" s="963"/>
      <c r="E5" s="963"/>
      <c r="F5" s="963"/>
      <c r="G5" s="963"/>
      <c r="H5" s="963"/>
      <c r="I5" s="963"/>
      <c r="J5" s="963"/>
      <c r="K5" s="963"/>
      <c r="L5" s="963"/>
      <c r="M5" s="963"/>
      <c r="N5" s="963"/>
      <c r="O5" s="964"/>
      <c r="R5" s="291"/>
    </row>
    <row r="6" spans="1:15" ht="36.75" customHeight="1">
      <c r="A6" s="940" t="str">
        <f>CONCATENATE("    ",AD8)</f>
        <v>    From July_2014 to September_2014 credited to GPF Account and from October_2014 Paid in cash. As per GO Ms No: 198 dated: 10/9/2014</v>
      </c>
      <c r="B6" s="941"/>
      <c r="C6" s="941"/>
      <c r="D6" s="941"/>
      <c r="E6" s="941"/>
      <c r="F6" s="941"/>
      <c r="G6" s="941"/>
      <c r="H6" s="941"/>
      <c r="I6" s="941"/>
      <c r="J6" s="941"/>
      <c r="K6" s="941"/>
      <c r="L6" s="941"/>
      <c r="M6" s="941"/>
      <c r="N6" s="941"/>
      <c r="O6" s="942"/>
    </row>
    <row r="7" spans="1:29" ht="54.75" customHeight="1">
      <c r="A7" s="376" t="s">
        <v>36</v>
      </c>
      <c r="B7" s="377" t="str">
        <f>CONCATENATE("To be drawn @ ",V8,"%")</f>
        <v>To be drawn @ 77.896%</v>
      </c>
      <c r="C7" s="377" t="str">
        <f>CONCATENATE("Already Drawn @ ",W8," %")</f>
        <v>Already Drawn @ 71.904 %</v>
      </c>
      <c r="D7" s="378" t="s">
        <v>272</v>
      </c>
      <c r="E7" s="377" t="str">
        <f>CONCATENATE("For ",Z8,"   Months (DIFF)")</f>
        <v>For 3   Months (DIFF)</v>
      </c>
      <c r="F7" s="378" t="s">
        <v>36</v>
      </c>
      <c r="G7" s="377" t="str">
        <f>CONCATENATE("To be drawn @ ",V8,"%")</f>
        <v>To be drawn @ 77.896%</v>
      </c>
      <c r="H7" s="377" t="str">
        <f>CONCATENATE("Already Drawn @ ",W8," %")</f>
        <v>Already Drawn @ 71.904 %</v>
      </c>
      <c r="I7" s="378" t="s">
        <v>272</v>
      </c>
      <c r="J7" s="377" t="str">
        <f>CONCATENATE("For ",Z8,"   Months (DIFF)")</f>
        <v>For 3   Months (DIFF)</v>
      </c>
      <c r="K7" s="378" t="s">
        <v>36</v>
      </c>
      <c r="L7" s="378" t="str">
        <f>CONCATENATE("To be drawn @ ",V8,"%")</f>
        <v>To be drawn @ 77.896%</v>
      </c>
      <c r="M7" s="377" t="str">
        <f>CONCATENATE("Already Drawn @ ",W8," %")</f>
        <v>Already Drawn @ 71.904 %</v>
      </c>
      <c r="N7" s="378" t="s">
        <v>272</v>
      </c>
      <c r="O7" s="379" t="str">
        <f>CONCATENATE("For ",Z8,"   Months(DIFF)")</f>
        <v>For 3   Months(DIFF)</v>
      </c>
      <c r="X7" s="49" t="s">
        <v>273</v>
      </c>
      <c r="Y7" s="49" t="s">
        <v>274</v>
      </c>
      <c r="Z7" s="49" t="s">
        <v>275</v>
      </c>
      <c r="AA7" s="49" t="s">
        <v>153</v>
      </c>
      <c r="AB7" s="49" t="s">
        <v>154</v>
      </c>
      <c r="AC7" s="49" t="s">
        <v>276</v>
      </c>
    </row>
    <row r="8" spans="1:30" ht="15">
      <c r="A8" s="296">
        <v>6700</v>
      </c>
      <c r="B8" s="380">
        <f aca="true" t="shared" si="0" ref="B8:B34">ROUND(A8*$V$8%,0)</f>
        <v>5219</v>
      </c>
      <c r="C8" s="380">
        <f aca="true" t="shared" si="1" ref="C8:C34">ROUND(A8*$W$8%,0)</f>
        <v>4818</v>
      </c>
      <c r="D8" s="380">
        <f aca="true" t="shared" si="2" ref="D8:D34">B8-C8</f>
        <v>401</v>
      </c>
      <c r="E8" s="380">
        <f>D8*$Z$8</f>
        <v>1203</v>
      </c>
      <c r="F8" s="299">
        <v>14440</v>
      </c>
      <c r="G8" s="380">
        <f>ROUND(F8*$V$8%,0)</f>
        <v>11248</v>
      </c>
      <c r="H8" s="380">
        <f>ROUND(F8*$W$8%,0)</f>
        <v>10383</v>
      </c>
      <c r="I8" s="380">
        <f>G8-H8</f>
        <v>865</v>
      </c>
      <c r="J8" s="380">
        <f>I8*$Z$8</f>
        <v>2595</v>
      </c>
      <c r="K8" s="299">
        <v>29950</v>
      </c>
      <c r="L8" s="380">
        <f>ROUND(K8*$V$8%,0)</f>
        <v>23330</v>
      </c>
      <c r="M8" s="380">
        <f>ROUND(K8*$W$8%,0)</f>
        <v>21535</v>
      </c>
      <c r="N8" s="380">
        <f>L8-M8</f>
        <v>1795</v>
      </c>
      <c r="O8" s="381">
        <f>N8*$Z$8</f>
        <v>5385</v>
      </c>
      <c r="U8" s="49">
        <v>10</v>
      </c>
      <c r="V8" s="373">
        <f>VLOOKUP(U8,U9:AD20,2,0)</f>
        <v>77.896</v>
      </c>
      <c r="W8" s="373">
        <f>VLOOKUP(U8,U9:AD20,3,0)</f>
        <v>71.904</v>
      </c>
      <c r="X8" s="373">
        <f>VLOOKUP(U8,U9:AD20,4,0)</f>
        <v>198</v>
      </c>
      <c r="Y8" s="374">
        <f>VLOOKUP(U8,U9:AD20,5,0)</f>
        <v>41892</v>
      </c>
      <c r="Z8" s="373">
        <f>VLOOKUP(U8,U9:AD20,6,0)</f>
        <v>3</v>
      </c>
      <c r="AA8" s="375" t="str">
        <f>VLOOKUP(U8,U9:AD20,7,0)</f>
        <v>July_2014</v>
      </c>
      <c r="AB8" s="373" t="str">
        <f>VLOOKUP(U8,$U$9:$AD$20,8,0)</f>
        <v>September_2014</v>
      </c>
      <c r="AC8" s="373" t="str">
        <f>VLOOKUP(U8,$U$9:$AD$20,9,0)</f>
        <v>October_2014</v>
      </c>
      <c r="AD8" s="373" t="str">
        <f>VLOOKUP(U8,$U$9:$AD$20,10,0)</f>
        <v>From July_2014 to September_2014 credited to GPF Account and from October_2014 Paid in cash. As per GO Ms No: 198 dated: 10/9/2014</v>
      </c>
    </row>
    <row r="9" spans="1:30" ht="15">
      <c r="A9" s="297">
        <v>6900</v>
      </c>
      <c r="B9" s="380">
        <f t="shared" si="0"/>
        <v>5375</v>
      </c>
      <c r="C9" s="380">
        <f t="shared" si="1"/>
        <v>4961</v>
      </c>
      <c r="D9" s="380">
        <f t="shared" si="2"/>
        <v>414</v>
      </c>
      <c r="E9" s="380">
        <f aca="true" t="shared" si="3" ref="E9:E34">D9*$Z$8</f>
        <v>1242</v>
      </c>
      <c r="F9" s="299">
        <v>14860</v>
      </c>
      <c r="G9" s="380">
        <f aca="true" t="shared" si="4" ref="G9:G34">ROUND(F9*$V$8%,0)</f>
        <v>11575</v>
      </c>
      <c r="H9" s="380">
        <f aca="true" t="shared" si="5" ref="H9:H34">ROUND(F9*$W$8%,0)</f>
        <v>10685</v>
      </c>
      <c r="I9" s="380">
        <f aca="true" t="shared" si="6" ref="I9:I34">G9-H9</f>
        <v>890</v>
      </c>
      <c r="J9" s="380">
        <f aca="true" t="shared" si="7" ref="J9:J34">I9*$Z$8</f>
        <v>2670</v>
      </c>
      <c r="K9" s="299">
        <v>30750</v>
      </c>
      <c r="L9" s="380">
        <f aca="true" t="shared" si="8" ref="L9:L33">ROUND(K9*$V$8%,0)</f>
        <v>23953</v>
      </c>
      <c r="M9" s="380">
        <f aca="true" t="shared" si="9" ref="M9:M33">ROUND(K9*$W$8%,0)</f>
        <v>22110</v>
      </c>
      <c r="N9" s="380">
        <f aca="true" t="shared" si="10" ref="N9:N33">L9-M9</f>
        <v>1843</v>
      </c>
      <c r="O9" s="381">
        <f aca="true" t="shared" si="11" ref="O9:O33">N9*$Z$8</f>
        <v>5529</v>
      </c>
      <c r="U9" s="49">
        <v>1</v>
      </c>
      <c r="V9" s="49">
        <v>16.264</v>
      </c>
      <c r="W9" s="49">
        <v>9.416</v>
      </c>
      <c r="X9" s="49">
        <v>248</v>
      </c>
      <c r="Y9" s="294">
        <v>40366</v>
      </c>
      <c r="Z9" s="49">
        <v>5</v>
      </c>
      <c r="AA9" s="49" t="s">
        <v>283</v>
      </c>
      <c r="AB9" s="49" t="s">
        <v>284</v>
      </c>
      <c r="AC9" s="49" t="s">
        <v>280</v>
      </c>
      <c r="AD9" s="49" t="str">
        <f>CONCATENATE("From ",AA9," to ",AB9," credited to GPF Account and from ",AC9," Paid in cash. As per GO Ms No: ",X9," dated: ",DAY(Y9),"/",MONTH(Y9),"/",YEAR(Y9))</f>
        <v>From February_2010 to June_2010 credited to GPF Account and from July_2010 Paid in cash. As per GO Ms No: 248 dated: 7/7/2010</v>
      </c>
    </row>
    <row r="10" spans="1:30" ht="15">
      <c r="A10" s="297">
        <v>7100</v>
      </c>
      <c r="B10" s="380">
        <f t="shared" si="0"/>
        <v>5531</v>
      </c>
      <c r="C10" s="380">
        <f t="shared" si="1"/>
        <v>5105</v>
      </c>
      <c r="D10" s="380">
        <f t="shared" si="2"/>
        <v>426</v>
      </c>
      <c r="E10" s="380">
        <f t="shared" si="3"/>
        <v>1278</v>
      </c>
      <c r="F10" s="299">
        <v>15280</v>
      </c>
      <c r="G10" s="380">
        <f t="shared" si="4"/>
        <v>11903</v>
      </c>
      <c r="H10" s="380">
        <f t="shared" si="5"/>
        <v>10987</v>
      </c>
      <c r="I10" s="380">
        <f t="shared" si="6"/>
        <v>916</v>
      </c>
      <c r="J10" s="380">
        <f t="shared" si="7"/>
        <v>2748</v>
      </c>
      <c r="K10" s="299">
        <v>31550</v>
      </c>
      <c r="L10" s="380">
        <f t="shared" si="8"/>
        <v>24576</v>
      </c>
      <c r="M10" s="380">
        <f t="shared" si="9"/>
        <v>22686</v>
      </c>
      <c r="N10" s="380">
        <f t="shared" si="10"/>
        <v>1890</v>
      </c>
      <c r="O10" s="381">
        <f t="shared" si="11"/>
        <v>5670</v>
      </c>
      <c r="U10" s="49">
        <v>2</v>
      </c>
      <c r="V10" s="49">
        <v>24.824</v>
      </c>
      <c r="W10" s="49">
        <v>16.264</v>
      </c>
      <c r="X10" s="49">
        <v>356</v>
      </c>
      <c r="Y10" s="294">
        <v>40518</v>
      </c>
      <c r="Z10" s="49">
        <v>5</v>
      </c>
      <c r="AA10" s="49" t="s">
        <v>280</v>
      </c>
      <c r="AB10" s="49" t="s">
        <v>281</v>
      </c>
      <c r="AC10" s="49" t="s">
        <v>282</v>
      </c>
      <c r="AD10" s="49" t="str">
        <f>CONCATENATE("From ",AA10," to ",AB10," credited to GPF Account and from ",AC10," Paid in cash. As per GO Ms No: ",X10," dated: ",DAY(Y10),"/",MONTH(Y10),"/",YEAR(Y10))</f>
        <v>From July_2010 to November_2010 credited to GPF Account and from December_2010 Paid in cash. As per GO Ms No: 356 dated: 6/12/2010</v>
      </c>
    </row>
    <row r="11" spans="1:30" ht="15">
      <c r="A11" s="297">
        <v>7300</v>
      </c>
      <c r="B11" s="380">
        <f t="shared" si="0"/>
        <v>5686</v>
      </c>
      <c r="C11" s="380">
        <f t="shared" si="1"/>
        <v>5249</v>
      </c>
      <c r="D11" s="380">
        <f t="shared" si="2"/>
        <v>437</v>
      </c>
      <c r="E11" s="380">
        <f t="shared" si="3"/>
        <v>1311</v>
      </c>
      <c r="F11" s="299">
        <v>15700</v>
      </c>
      <c r="G11" s="380">
        <f t="shared" si="4"/>
        <v>12230</v>
      </c>
      <c r="H11" s="380">
        <f t="shared" si="5"/>
        <v>11289</v>
      </c>
      <c r="I11" s="380">
        <f t="shared" si="6"/>
        <v>941</v>
      </c>
      <c r="J11" s="380">
        <f t="shared" si="7"/>
        <v>2823</v>
      </c>
      <c r="K11" s="299">
        <v>32350</v>
      </c>
      <c r="L11" s="380">
        <f t="shared" si="8"/>
        <v>25199</v>
      </c>
      <c r="M11" s="380">
        <f t="shared" si="9"/>
        <v>23261</v>
      </c>
      <c r="N11" s="380">
        <f t="shared" si="10"/>
        <v>1938</v>
      </c>
      <c r="O11" s="381">
        <f t="shared" si="11"/>
        <v>5814</v>
      </c>
      <c r="U11" s="49">
        <v>3</v>
      </c>
      <c r="V11" s="293">
        <v>29.96</v>
      </c>
      <c r="W11" s="49">
        <v>24.824</v>
      </c>
      <c r="X11" s="49">
        <v>104</v>
      </c>
      <c r="Y11" s="371">
        <v>40693</v>
      </c>
      <c r="Z11" s="49">
        <v>4</v>
      </c>
      <c r="AA11" s="295" t="s">
        <v>277</v>
      </c>
      <c r="AB11" s="295" t="s">
        <v>278</v>
      </c>
      <c r="AC11" s="295" t="s">
        <v>279</v>
      </c>
      <c r="AD11" s="49" t="str">
        <f>CONCATENATE("From ",AA11," to ",AB11," credited to GPF Account and from ",AC11," Paid in cash. As per GO Ms No: ",X11," dated: ",DAY(Y11),"/",MONTH(Y11),"/",YEAR(Y11))</f>
        <v>From January_2011 to April_2011 credited to GPF Account and from May_2011 Paid in cash. As per GO Ms No: 104 dated: 30/5/2011</v>
      </c>
    </row>
    <row r="12" spans="1:30" ht="15">
      <c r="A12" s="297">
        <v>7520</v>
      </c>
      <c r="B12" s="380">
        <f t="shared" si="0"/>
        <v>5858</v>
      </c>
      <c r="C12" s="380">
        <f t="shared" si="1"/>
        <v>5407</v>
      </c>
      <c r="D12" s="380">
        <f t="shared" si="2"/>
        <v>451</v>
      </c>
      <c r="E12" s="380">
        <f t="shared" si="3"/>
        <v>1353</v>
      </c>
      <c r="F12" s="299">
        <v>16150</v>
      </c>
      <c r="G12" s="380">
        <f t="shared" si="4"/>
        <v>12580</v>
      </c>
      <c r="H12" s="380">
        <f t="shared" si="5"/>
        <v>11612</v>
      </c>
      <c r="I12" s="380">
        <f t="shared" si="6"/>
        <v>968</v>
      </c>
      <c r="J12" s="380">
        <f t="shared" si="7"/>
        <v>2904</v>
      </c>
      <c r="K12" s="299">
        <v>33200</v>
      </c>
      <c r="L12" s="380">
        <f t="shared" si="8"/>
        <v>25861</v>
      </c>
      <c r="M12" s="380">
        <f t="shared" si="9"/>
        <v>23872</v>
      </c>
      <c r="N12" s="380">
        <f t="shared" si="10"/>
        <v>1989</v>
      </c>
      <c r="O12" s="381">
        <f t="shared" si="11"/>
        <v>5967</v>
      </c>
      <c r="U12" s="49">
        <v>4</v>
      </c>
      <c r="V12" s="49">
        <v>35.952</v>
      </c>
      <c r="W12" s="49">
        <v>29.96</v>
      </c>
      <c r="X12" s="372">
        <v>25</v>
      </c>
      <c r="Y12" s="371">
        <v>40941</v>
      </c>
      <c r="Z12" s="49">
        <v>5</v>
      </c>
      <c r="AA12" s="49" t="s">
        <v>285</v>
      </c>
      <c r="AB12" s="49" t="s">
        <v>286</v>
      </c>
      <c r="AC12" s="49" t="s">
        <v>287</v>
      </c>
      <c r="AD12" s="49" t="str">
        <f>CONCATENATE("From ",AA12," to ",AB12," credited to GPF Account and from ",AC12," Paid in cash. As per GO Ms No: ",X12," dated: ",DAY(Y12),"/",MONTH(Y12),"/",YEAR(Y12))</f>
        <v>From July_2011 to November_2011 credited to GPF Account and from December_2011 Paid in cash. As per GO Ms No: 25 dated: 2/2/2012</v>
      </c>
    </row>
    <row r="13" spans="1:30" ht="15">
      <c r="A13" s="297">
        <v>7740</v>
      </c>
      <c r="B13" s="380">
        <f t="shared" si="0"/>
        <v>6029</v>
      </c>
      <c r="C13" s="380">
        <f t="shared" si="1"/>
        <v>5565</v>
      </c>
      <c r="D13" s="380">
        <f t="shared" si="2"/>
        <v>464</v>
      </c>
      <c r="E13" s="380">
        <f t="shared" si="3"/>
        <v>1392</v>
      </c>
      <c r="F13" s="299">
        <v>16600</v>
      </c>
      <c r="G13" s="380">
        <f t="shared" si="4"/>
        <v>12931</v>
      </c>
      <c r="H13" s="380">
        <f t="shared" si="5"/>
        <v>11936</v>
      </c>
      <c r="I13" s="380">
        <f t="shared" si="6"/>
        <v>995</v>
      </c>
      <c r="J13" s="380">
        <f t="shared" si="7"/>
        <v>2985</v>
      </c>
      <c r="K13" s="299">
        <v>34050</v>
      </c>
      <c r="L13" s="380">
        <f t="shared" si="8"/>
        <v>26524</v>
      </c>
      <c r="M13" s="380">
        <f t="shared" si="9"/>
        <v>24483</v>
      </c>
      <c r="N13" s="380">
        <f t="shared" si="10"/>
        <v>2041</v>
      </c>
      <c r="O13" s="381">
        <f t="shared" si="11"/>
        <v>6123</v>
      </c>
      <c r="U13" s="49">
        <v>5</v>
      </c>
      <c r="V13" s="49">
        <v>41.944</v>
      </c>
      <c r="W13" s="49">
        <v>35.952</v>
      </c>
      <c r="X13" s="372">
        <v>178</v>
      </c>
      <c r="Y13" s="371">
        <v>41094</v>
      </c>
      <c r="Z13" s="49">
        <v>4</v>
      </c>
      <c r="AA13" s="49" t="s">
        <v>461</v>
      </c>
      <c r="AB13" s="49" t="s">
        <v>462</v>
      </c>
      <c r="AC13" s="49" t="s">
        <v>463</v>
      </c>
      <c r="AD13" s="49" t="str">
        <f aca="true" t="shared" si="12" ref="AD13:AD18">CONCATENATE("From ",AA13," to ",AB13," credited to GPF Account and from ",AC13," Paid in cash. As per GO Ms No: ",X13," dated: ",DAY(Y13),"/",MONTH(Y13),"/",YEAR(Y13))</f>
        <v>From January_2012 to April_2012 credited to GPF Account and from May_2012 Paid in cash. As per GO Ms No: 178 dated: 4/7/2012</v>
      </c>
    </row>
    <row r="14" spans="1:30" ht="15">
      <c r="A14" s="297">
        <v>7960</v>
      </c>
      <c r="B14" s="380">
        <f t="shared" si="0"/>
        <v>6201</v>
      </c>
      <c r="C14" s="380">
        <f t="shared" si="1"/>
        <v>5724</v>
      </c>
      <c r="D14" s="380">
        <f t="shared" si="2"/>
        <v>477</v>
      </c>
      <c r="E14" s="380">
        <f t="shared" si="3"/>
        <v>1431</v>
      </c>
      <c r="F14" s="299">
        <v>17050</v>
      </c>
      <c r="G14" s="380">
        <f t="shared" si="4"/>
        <v>13281</v>
      </c>
      <c r="H14" s="380">
        <f t="shared" si="5"/>
        <v>12260</v>
      </c>
      <c r="I14" s="380">
        <f t="shared" si="6"/>
        <v>1021</v>
      </c>
      <c r="J14" s="380">
        <f t="shared" si="7"/>
        <v>3063</v>
      </c>
      <c r="K14" s="299">
        <v>34900</v>
      </c>
      <c r="L14" s="380">
        <f t="shared" si="8"/>
        <v>27186</v>
      </c>
      <c r="M14" s="380">
        <f t="shared" si="9"/>
        <v>25094</v>
      </c>
      <c r="N14" s="380">
        <f t="shared" si="10"/>
        <v>2092</v>
      </c>
      <c r="O14" s="381">
        <f t="shared" si="11"/>
        <v>6276</v>
      </c>
      <c r="U14" s="49">
        <v>6</v>
      </c>
      <c r="V14" s="49">
        <v>47.936</v>
      </c>
      <c r="W14" s="49">
        <v>41.944</v>
      </c>
      <c r="X14" s="372">
        <v>297</v>
      </c>
      <c r="Y14" s="371">
        <v>41227</v>
      </c>
      <c r="Z14" s="49">
        <v>4</v>
      </c>
      <c r="AA14" s="49" t="s">
        <v>464</v>
      </c>
      <c r="AB14" s="49" t="s">
        <v>465</v>
      </c>
      <c r="AC14" s="49" t="s">
        <v>466</v>
      </c>
      <c r="AD14" s="49" t="str">
        <f t="shared" si="12"/>
        <v>From July_2012 to October_2012 credited to GPF Account and from November_2012 Paid in cash. As per GO Ms No: 297 dated: 14/11/2012</v>
      </c>
    </row>
    <row r="15" spans="1:30" ht="15">
      <c r="A15" s="297">
        <v>8200</v>
      </c>
      <c r="B15" s="380">
        <f t="shared" si="0"/>
        <v>6387</v>
      </c>
      <c r="C15" s="380">
        <f t="shared" si="1"/>
        <v>5896</v>
      </c>
      <c r="D15" s="380">
        <f t="shared" si="2"/>
        <v>491</v>
      </c>
      <c r="E15" s="380">
        <f t="shared" si="3"/>
        <v>1473</v>
      </c>
      <c r="F15" s="299">
        <v>17540</v>
      </c>
      <c r="G15" s="380">
        <f t="shared" si="4"/>
        <v>13663</v>
      </c>
      <c r="H15" s="380">
        <f t="shared" si="5"/>
        <v>12612</v>
      </c>
      <c r="I15" s="380">
        <f t="shared" si="6"/>
        <v>1051</v>
      </c>
      <c r="J15" s="380">
        <f t="shared" si="7"/>
        <v>3153</v>
      </c>
      <c r="K15" s="299">
        <v>35800</v>
      </c>
      <c r="L15" s="380">
        <f t="shared" si="8"/>
        <v>27887</v>
      </c>
      <c r="M15" s="380">
        <f t="shared" si="9"/>
        <v>25742</v>
      </c>
      <c r="N15" s="380">
        <f t="shared" si="10"/>
        <v>2145</v>
      </c>
      <c r="O15" s="381">
        <f t="shared" si="11"/>
        <v>6435</v>
      </c>
      <c r="U15" s="49">
        <v>7</v>
      </c>
      <c r="V15" s="49">
        <v>54.784</v>
      </c>
      <c r="W15" s="49">
        <v>47.936</v>
      </c>
      <c r="X15" s="372">
        <v>136</v>
      </c>
      <c r="Y15" s="371">
        <v>41436</v>
      </c>
      <c r="Z15" s="49">
        <v>4</v>
      </c>
      <c r="AA15" s="49" t="s">
        <v>467</v>
      </c>
      <c r="AB15" s="295" t="s">
        <v>468</v>
      </c>
      <c r="AC15" s="49" t="s">
        <v>469</v>
      </c>
      <c r="AD15" s="49" t="str">
        <f t="shared" si="12"/>
        <v>From January_2013 to April_2013 credited to GPF Account and from May_2013 Paid in cash. As per GO Ms No: 136 dated: 11/6/2013</v>
      </c>
    </row>
    <row r="16" spans="1:30" ht="15">
      <c r="A16" s="297">
        <v>8440</v>
      </c>
      <c r="B16" s="380">
        <f t="shared" si="0"/>
        <v>6574</v>
      </c>
      <c r="C16" s="380">
        <f t="shared" si="1"/>
        <v>6069</v>
      </c>
      <c r="D16" s="380">
        <f t="shared" si="2"/>
        <v>505</v>
      </c>
      <c r="E16" s="380">
        <f t="shared" si="3"/>
        <v>1515</v>
      </c>
      <c r="F16" s="299">
        <v>18030</v>
      </c>
      <c r="G16" s="380">
        <f t="shared" si="4"/>
        <v>14045</v>
      </c>
      <c r="H16" s="380">
        <f t="shared" si="5"/>
        <v>12964</v>
      </c>
      <c r="I16" s="380">
        <f t="shared" si="6"/>
        <v>1081</v>
      </c>
      <c r="J16" s="380">
        <f t="shared" si="7"/>
        <v>3243</v>
      </c>
      <c r="K16" s="299">
        <v>36700</v>
      </c>
      <c r="L16" s="380">
        <f t="shared" si="8"/>
        <v>28588</v>
      </c>
      <c r="M16" s="380">
        <f t="shared" si="9"/>
        <v>26389</v>
      </c>
      <c r="N16" s="380">
        <f t="shared" si="10"/>
        <v>2199</v>
      </c>
      <c r="O16" s="381">
        <f t="shared" si="11"/>
        <v>6597</v>
      </c>
      <c r="U16" s="49">
        <v>8</v>
      </c>
      <c r="V16" s="49">
        <v>63.344</v>
      </c>
      <c r="W16" s="49">
        <v>54.784</v>
      </c>
      <c r="X16" s="49">
        <v>294</v>
      </c>
      <c r="Y16" s="371">
        <v>41573</v>
      </c>
      <c r="Z16" s="49">
        <v>3</v>
      </c>
      <c r="AA16" s="49" t="s">
        <v>470</v>
      </c>
      <c r="AB16" s="49" t="s">
        <v>471</v>
      </c>
      <c r="AC16" s="49" t="s">
        <v>472</v>
      </c>
      <c r="AD16" s="49" t="str">
        <f t="shared" si="12"/>
        <v>From July_2013 to September_2013 credited to GPF Account and from October_2013 Paid in cash. As per GO Ms No: 294 dated: 26/10/2013</v>
      </c>
    </row>
    <row r="17" spans="1:30" ht="15">
      <c r="A17" s="297">
        <v>8680</v>
      </c>
      <c r="B17" s="380">
        <f t="shared" si="0"/>
        <v>6761</v>
      </c>
      <c r="C17" s="380">
        <f t="shared" si="1"/>
        <v>6241</v>
      </c>
      <c r="D17" s="380">
        <f t="shared" si="2"/>
        <v>520</v>
      </c>
      <c r="E17" s="380">
        <f t="shared" si="3"/>
        <v>1560</v>
      </c>
      <c r="F17" s="299">
        <v>18520</v>
      </c>
      <c r="G17" s="380">
        <f t="shared" si="4"/>
        <v>14426</v>
      </c>
      <c r="H17" s="380">
        <f t="shared" si="5"/>
        <v>13317</v>
      </c>
      <c r="I17" s="380">
        <f t="shared" si="6"/>
        <v>1109</v>
      </c>
      <c r="J17" s="380">
        <f t="shared" si="7"/>
        <v>3327</v>
      </c>
      <c r="K17" s="299">
        <v>37600</v>
      </c>
      <c r="L17" s="380">
        <f t="shared" si="8"/>
        <v>29289</v>
      </c>
      <c r="M17" s="380">
        <f t="shared" si="9"/>
        <v>27036</v>
      </c>
      <c r="N17" s="380">
        <f t="shared" si="10"/>
        <v>2253</v>
      </c>
      <c r="O17" s="381">
        <f t="shared" si="11"/>
        <v>6759</v>
      </c>
      <c r="U17" s="49">
        <v>9</v>
      </c>
      <c r="V17" s="49">
        <v>71.904</v>
      </c>
      <c r="W17" s="49">
        <v>63.344</v>
      </c>
      <c r="X17" s="49">
        <v>102</v>
      </c>
      <c r="Y17" s="371">
        <v>41773</v>
      </c>
      <c r="Z17" s="49">
        <v>4</v>
      </c>
      <c r="AA17" s="49" t="s">
        <v>473</v>
      </c>
      <c r="AB17" s="295" t="s">
        <v>474</v>
      </c>
      <c r="AC17" s="49" t="s">
        <v>475</v>
      </c>
      <c r="AD17" s="49" t="str">
        <f t="shared" si="12"/>
        <v>From January_2014 to April_2014 credited to GPF Account and from May_2014 Paid in cash. As per GO Ms No: 102 dated: 14/5/2014</v>
      </c>
    </row>
    <row r="18" spans="1:30" ht="15">
      <c r="A18" s="297">
        <v>8940</v>
      </c>
      <c r="B18" s="380">
        <f t="shared" si="0"/>
        <v>6964</v>
      </c>
      <c r="C18" s="380">
        <f t="shared" si="1"/>
        <v>6428</v>
      </c>
      <c r="D18" s="380">
        <f t="shared" si="2"/>
        <v>536</v>
      </c>
      <c r="E18" s="380">
        <f t="shared" si="3"/>
        <v>1608</v>
      </c>
      <c r="F18" s="299">
        <v>19050</v>
      </c>
      <c r="G18" s="380">
        <f t="shared" si="4"/>
        <v>14839</v>
      </c>
      <c r="H18" s="380">
        <f t="shared" si="5"/>
        <v>13698</v>
      </c>
      <c r="I18" s="380">
        <f t="shared" si="6"/>
        <v>1141</v>
      </c>
      <c r="J18" s="380">
        <f t="shared" si="7"/>
        <v>3423</v>
      </c>
      <c r="K18" s="299">
        <v>38570</v>
      </c>
      <c r="L18" s="380">
        <f t="shared" si="8"/>
        <v>30044</v>
      </c>
      <c r="M18" s="380">
        <f t="shared" si="9"/>
        <v>27733</v>
      </c>
      <c r="N18" s="380">
        <f t="shared" si="10"/>
        <v>2311</v>
      </c>
      <c r="O18" s="381">
        <f t="shared" si="11"/>
        <v>6933</v>
      </c>
      <c r="U18" s="49">
        <v>10</v>
      </c>
      <c r="V18" s="49">
        <v>77.896</v>
      </c>
      <c r="W18" s="49">
        <v>71.904</v>
      </c>
      <c r="X18" s="49">
        <v>198</v>
      </c>
      <c r="Y18" s="371">
        <v>41892</v>
      </c>
      <c r="Z18" s="49">
        <v>3</v>
      </c>
      <c r="AA18" s="49" t="s">
        <v>476</v>
      </c>
      <c r="AB18" s="49" t="s">
        <v>477</v>
      </c>
      <c r="AC18" s="49" t="s">
        <v>478</v>
      </c>
      <c r="AD18" s="49" t="str">
        <f t="shared" si="12"/>
        <v>From July_2014 to September_2014 credited to GPF Account and from October_2014 Paid in cash. As per GO Ms No: 198 dated: 10/9/2014</v>
      </c>
    </row>
    <row r="19" spans="1:21" ht="15">
      <c r="A19" s="297">
        <v>9200</v>
      </c>
      <c r="B19" s="380">
        <f t="shared" si="0"/>
        <v>7166</v>
      </c>
      <c r="C19" s="380">
        <f t="shared" si="1"/>
        <v>6615</v>
      </c>
      <c r="D19" s="380">
        <f t="shared" si="2"/>
        <v>551</v>
      </c>
      <c r="E19" s="380">
        <f t="shared" si="3"/>
        <v>1653</v>
      </c>
      <c r="F19" s="299">
        <v>19580</v>
      </c>
      <c r="G19" s="380">
        <f t="shared" si="4"/>
        <v>15252</v>
      </c>
      <c r="H19" s="380">
        <f t="shared" si="5"/>
        <v>14079</v>
      </c>
      <c r="I19" s="380">
        <f t="shared" si="6"/>
        <v>1173</v>
      </c>
      <c r="J19" s="380">
        <f t="shared" si="7"/>
        <v>3519</v>
      </c>
      <c r="K19" s="299">
        <v>39540</v>
      </c>
      <c r="L19" s="380">
        <f t="shared" si="8"/>
        <v>30800</v>
      </c>
      <c r="M19" s="380">
        <f t="shared" si="9"/>
        <v>28431</v>
      </c>
      <c r="N19" s="380">
        <f t="shared" si="10"/>
        <v>2369</v>
      </c>
      <c r="O19" s="381">
        <f t="shared" si="11"/>
        <v>7107</v>
      </c>
      <c r="U19" s="49">
        <v>11</v>
      </c>
    </row>
    <row r="20" spans="1:15" ht="15">
      <c r="A20" s="297">
        <v>9460</v>
      </c>
      <c r="B20" s="380">
        <f t="shared" si="0"/>
        <v>7369</v>
      </c>
      <c r="C20" s="380">
        <f t="shared" si="1"/>
        <v>6802</v>
      </c>
      <c r="D20" s="380">
        <f t="shared" si="2"/>
        <v>567</v>
      </c>
      <c r="E20" s="380">
        <f t="shared" si="3"/>
        <v>1701</v>
      </c>
      <c r="F20" s="299">
        <v>20110</v>
      </c>
      <c r="G20" s="380">
        <f t="shared" si="4"/>
        <v>15665</v>
      </c>
      <c r="H20" s="380">
        <f t="shared" si="5"/>
        <v>14460</v>
      </c>
      <c r="I20" s="380">
        <f t="shared" si="6"/>
        <v>1205</v>
      </c>
      <c r="J20" s="380">
        <f t="shared" si="7"/>
        <v>3615</v>
      </c>
      <c r="K20" s="299">
        <v>40510</v>
      </c>
      <c r="L20" s="380">
        <f t="shared" si="8"/>
        <v>31556</v>
      </c>
      <c r="M20" s="380">
        <f t="shared" si="9"/>
        <v>29128</v>
      </c>
      <c r="N20" s="380">
        <f t="shared" si="10"/>
        <v>2428</v>
      </c>
      <c r="O20" s="381">
        <f t="shared" si="11"/>
        <v>7284</v>
      </c>
    </row>
    <row r="21" spans="1:15" ht="15">
      <c r="A21" s="297">
        <v>9740</v>
      </c>
      <c r="B21" s="380">
        <f t="shared" si="0"/>
        <v>7587</v>
      </c>
      <c r="C21" s="380">
        <f t="shared" si="1"/>
        <v>7003</v>
      </c>
      <c r="D21" s="380">
        <f t="shared" si="2"/>
        <v>584</v>
      </c>
      <c r="E21" s="380">
        <f t="shared" si="3"/>
        <v>1752</v>
      </c>
      <c r="F21" s="299">
        <v>20680</v>
      </c>
      <c r="G21" s="380">
        <f t="shared" si="4"/>
        <v>16109</v>
      </c>
      <c r="H21" s="380">
        <f t="shared" si="5"/>
        <v>14870</v>
      </c>
      <c r="I21" s="380">
        <f t="shared" si="6"/>
        <v>1239</v>
      </c>
      <c r="J21" s="380">
        <f t="shared" si="7"/>
        <v>3717</v>
      </c>
      <c r="K21" s="299">
        <v>41550</v>
      </c>
      <c r="L21" s="380">
        <f t="shared" si="8"/>
        <v>32366</v>
      </c>
      <c r="M21" s="380">
        <f t="shared" si="9"/>
        <v>29876</v>
      </c>
      <c r="N21" s="380">
        <f t="shared" si="10"/>
        <v>2490</v>
      </c>
      <c r="O21" s="381">
        <f t="shared" si="11"/>
        <v>7470</v>
      </c>
    </row>
    <row r="22" spans="1:15" ht="15">
      <c r="A22" s="297">
        <v>10020</v>
      </c>
      <c r="B22" s="380">
        <f t="shared" si="0"/>
        <v>7805</v>
      </c>
      <c r="C22" s="380">
        <f t="shared" si="1"/>
        <v>7205</v>
      </c>
      <c r="D22" s="380">
        <f t="shared" si="2"/>
        <v>600</v>
      </c>
      <c r="E22" s="380">
        <f t="shared" si="3"/>
        <v>1800</v>
      </c>
      <c r="F22" s="299">
        <v>21250</v>
      </c>
      <c r="G22" s="380">
        <f t="shared" si="4"/>
        <v>16553</v>
      </c>
      <c r="H22" s="380">
        <f t="shared" si="5"/>
        <v>15280</v>
      </c>
      <c r="I22" s="380">
        <f t="shared" si="6"/>
        <v>1273</v>
      </c>
      <c r="J22" s="380">
        <f t="shared" si="7"/>
        <v>3819</v>
      </c>
      <c r="K22" s="299">
        <v>42590</v>
      </c>
      <c r="L22" s="380">
        <f t="shared" si="8"/>
        <v>33176</v>
      </c>
      <c r="M22" s="380">
        <f t="shared" si="9"/>
        <v>30624</v>
      </c>
      <c r="N22" s="380">
        <f t="shared" si="10"/>
        <v>2552</v>
      </c>
      <c r="O22" s="381">
        <f t="shared" si="11"/>
        <v>7656</v>
      </c>
    </row>
    <row r="23" spans="1:15" ht="15">
      <c r="A23" s="297">
        <v>10300</v>
      </c>
      <c r="B23" s="380">
        <f t="shared" si="0"/>
        <v>8023</v>
      </c>
      <c r="C23" s="380">
        <f t="shared" si="1"/>
        <v>7406</v>
      </c>
      <c r="D23" s="380">
        <f t="shared" si="2"/>
        <v>617</v>
      </c>
      <c r="E23" s="380">
        <f t="shared" si="3"/>
        <v>1851</v>
      </c>
      <c r="F23" s="299">
        <v>21820</v>
      </c>
      <c r="G23" s="380">
        <f t="shared" si="4"/>
        <v>16997</v>
      </c>
      <c r="H23" s="380">
        <f t="shared" si="5"/>
        <v>15689</v>
      </c>
      <c r="I23" s="380">
        <f t="shared" si="6"/>
        <v>1308</v>
      </c>
      <c r="J23" s="380">
        <f t="shared" si="7"/>
        <v>3924</v>
      </c>
      <c r="K23" s="299">
        <v>43630</v>
      </c>
      <c r="L23" s="380">
        <f t="shared" si="8"/>
        <v>33986</v>
      </c>
      <c r="M23" s="380">
        <f t="shared" si="9"/>
        <v>31372</v>
      </c>
      <c r="N23" s="380">
        <f t="shared" si="10"/>
        <v>2614</v>
      </c>
      <c r="O23" s="381">
        <f t="shared" si="11"/>
        <v>7842</v>
      </c>
    </row>
    <row r="24" spans="1:15" ht="15">
      <c r="A24" s="297">
        <v>10600</v>
      </c>
      <c r="B24" s="380">
        <f t="shared" si="0"/>
        <v>8257</v>
      </c>
      <c r="C24" s="380">
        <f t="shared" si="1"/>
        <v>7622</v>
      </c>
      <c r="D24" s="380">
        <f t="shared" si="2"/>
        <v>635</v>
      </c>
      <c r="E24" s="380">
        <f t="shared" si="3"/>
        <v>1905</v>
      </c>
      <c r="F24" s="299">
        <v>22430</v>
      </c>
      <c r="G24" s="380">
        <f t="shared" si="4"/>
        <v>17472</v>
      </c>
      <c r="H24" s="380">
        <f t="shared" si="5"/>
        <v>16128</v>
      </c>
      <c r="I24" s="380">
        <f t="shared" si="6"/>
        <v>1344</v>
      </c>
      <c r="J24" s="380">
        <f t="shared" si="7"/>
        <v>4032</v>
      </c>
      <c r="K24" s="299">
        <v>44740</v>
      </c>
      <c r="L24" s="380">
        <f t="shared" si="8"/>
        <v>34851</v>
      </c>
      <c r="M24" s="380">
        <f t="shared" si="9"/>
        <v>32170</v>
      </c>
      <c r="N24" s="380">
        <f t="shared" si="10"/>
        <v>2681</v>
      </c>
      <c r="O24" s="381">
        <f t="shared" si="11"/>
        <v>8043</v>
      </c>
    </row>
    <row r="25" spans="1:15" ht="15">
      <c r="A25" s="297">
        <v>10900</v>
      </c>
      <c r="B25" s="380">
        <f t="shared" si="0"/>
        <v>8491</v>
      </c>
      <c r="C25" s="380">
        <f t="shared" si="1"/>
        <v>7838</v>
      </c>
      <c r="D25" s="380">
        <f t="shared" si="2"/>
        <v>653</v>
      </c>
      <c r="E25" s="380">
        <f t="shared" si="3"/>
        <v>1959</v>
      </c>
      <c r="F25" s="299">
        <v>23040</v>
      </c>
      <c r="G25" s="380">
        <f t="shared" si="4"/>
        <v>17947</v>
      </c>
      <c r="H25" s="380">
        <f t="shared" si="5"/>
        <v>16567</v>
      </c>
      <c r="I25" s="380">
        <f t="shared" si="6"/>
        <v>1380</v>
      </c>
      <c r="J25" s="380">
        <f t="shared" si="7"/>
        <v>4140</v>
      </c>
      <c r="K25" s="299">
        <v>45850</v>
      </c>
      <c r="L25" s="380">
        <f t="shared" si="8"/>
        <v>35715</v>
      </c>
      <c r="M25" s="380">
        <f t="shared" si="9"/>
        <v>32968</v>
      </c>
      <c r="N25" s="380">
        <f t="shared" si="10"/>
        <v>2747</v>
      </c>
      <c r="O25" s="381">
        <f t="shared" si="11"/>
        <v>8241</v>
      </c>
    </row>
    <row r="26" spans="1:15" ht="15">
      <c r="A26" s="297">
        <v>11200</v>
      </c>
      <c r="B26" s="380">
        <f t="shared" si="0"/>
        <v>8724</v>
      </c>
      <c r="C26" s="380">
        <f t="shared" si="1"/>
        <v>8053</v>
      </c>
      <c r="D26" s="380">
        <f t="shared" si="2"/>
        <v>671</v>
      </c>
      <c r="E26" s="380">
        <f t="shared" si="3"/>
        <v>2013</v>
      </c>
      <c r="F26" s="299">
        <v>23650</v>
      </c>
      <c r="G26" s="380">
        <f t="shared" si="4"/>
        <v>18422</v>
      </c>
      <c r="H26" s="380">
        <f t="shared" si="5"/>
        <v>17005</v>
      </c>
      <c r="I26" s="380">
        <f t="shared" si="6"/>
        <v>1417</v>
      </c>
      <c r="J26" s="380">
        <f t="shared" si="7"/>
        <v>4251</v>
      </c>
      <c r="K26" s="299">
        <v>46960</v>
      </c>
      <c r="L26" s="380">
        <f t="shared" si="8"/>
        <v>36580</v>
      </c>
      <c r="M26" s="380">
        <f t="shared" si="9"/>
        <v>33766</v>
      </c>
      <c r="N26" s="380">
        <f t="shared" si="10"/>
        <v>2814</v>
      </c>
      <c r="O26" s="381">
        <f t="shared" si="11"/>
        <v>8442</v>
      </c>
    </row>
    <row r="27" spans="1:15" ht="15">
      <c r="A27" s="297">
        <v>11530</v>
      </c>
      <c r="B27" s="380">
        <f t="shared" si="0"/>
        <v>8981</v>
      </c>
      <c r="C27" s="380">
        <f t="shared" si="1"/>
        <v>8291</v>
      </c>
      <c r="D27" s="380">
        <f t="shared" si="2"/>
        <v>690</v>
      </c>
      <c r="E27" s="380">
        <f t="shared" si="3"/>
        <v>2070</v>
      </c>
      <c r="F27" s="299">
        <v>24300</v>
      </c>
      <c r="G27" s="380">
        <f t="shared" si="4"/>
        <v>18929</v>
      </c>
      <c r="H27" s="380">
        <f t="shared" si="5"/>
        <v>17473</v>
      </c>
      <c r="I27" s="380">
        <f t="shared" si="6"/>
        <v>1456</v>
      </c>
      <c r="J27" s="380">
        <f t="shared" si="7"/>
        <v>4368</v>
      </c>
      <c r="K27" s="299">
        <v>48160</v>
      </c>
      <c r="L27" s="380">
        <f t="shared" si="8"/>
        <v>37515</v>
      </c>
      <c r="M27" s="380">
        <f t="shared" si="9"/>
        <v>34629</v>
      </c>
      <c r="N27" s="380">
        <f t="shared" si="10"/>
        <v>2886</v>
      </c>
      <c r="O27" s="381">
        <f t="shared" si="11"/>
        <v>8658</v>
      </c>
    </row>
    <row r="28" spans="1:15" ht="15">
      <c r="A28" s="297">
        <v>11860</v>
      </c>
      <c r="B28" s="380">
        <f t="shared" si="0"/>
        <v>9238</v>
      </c>
      <c r="C28" s="380">
        <f t="shared" si="1"/>
        <v>8528</v>
      </c>
      <c r="D28" s="380">
        <f t="shared" si="2"/>
        <v>710</v>
      </c>
      <c r="E28" s="380">
        <f t="shared" si="3"/>
        <v>2130</v>
      </c>
      <c r="F28" s="299">
        <v>24950</v>
      </c>
      <c r="G28" s="380">
        <f t="shared" si="4"/>
        <v>19435</v>
      </c>
      <c r="H28" s="380">
        <f t="shared" si="5"/>
        <v>17940</v>
      </c>
      <c r="I28" s="380">
        <f t="shared" si="6"/>
        <v>1495</v>
      </c>
      <c r="J28" s="380">
        <f t="shared" si="7"/>
        <v>4485</v>
      </c>
      <c r="K28" s="299">
        <v>49360</v>
      </c>
      <c r="L28" s="380">
        <f t="shared" si="8"/>
        <v>38449</v>
      </c>
      <c r="M28" s="380">
        <f t="shared" si="9"/>
        <v>35492</v>
      </c>
      <c r="N28" s="380">
        <f t="shared" si="10"/>
        <v>2957</v>
      </c>
      <c r="O28" s="381">
        <f t="shared" si="11"/>
        <v>8871</v>
      </c>
    </row>
    <row r="29" spans="1:15" ht="15">
      <c r="A29" s="297">
        <v>12190</v>
      </c>
      <c r="B29" s="380">
        <f t="shared" si="0"/>
        <v>9496</v>
      </c>
      <c r="C29" s="380">
        <f t="shared" si="1"/>
        <v>8765</v>
      </c>
      <c r="D29" s="380">
        <f t="shared" si="2"/>
        <v>731</v>
      </c>
      <c r="E29" s="380">
        <f t="shared" si="3"/>
        <v>2193</v>
      </c>
      <c r="F29" s="299">
        <v>25600</v>
      </c>
      <c r="G29" s="380">
        <f t="shared" si="4"/>
        <v>19941</v>
      </c>
      <c r="H29" s="380">
        <f t="shared" si="5"/>
        <v>18407</v>
      </c>
      <c r="I29" s="380">
        <f t="shared" si="6"/>
        <v>1534</v>
      </c>
      <c r="J29" s="380">
        <f t="shared" si="7"/>
        <v>4602</v>
      </c>
      <c r="K29" s="299">
        <v>50560</v>
      </c>
      <c r="L29" s="380">
        <f t="shared" si="8"/>
        <v>39384</v>
      </c>
      <c r="M29" s="380">
        <f t="shared" si="9"/>
        <v>36355</v>
      </c>
      <c r="N29" s="380">
        <f t="shared" si="10"/>
        <v>3029</v>
      </c>
      <c r="O29" s="381">
        <f t="shared" si="11"/>
        <v>9087</v>
      </c>
    </row>
    <row r="30" spans="1:15" ht="15">
      <c r="A30" s="297">
        <v>12550</v>
      </c>
      <c r="B30" s="380">
        <f t="shared" si="0"/>
        <v>9776</v>
      </c>
      <c r="C30" s="380">
        <f t="shared" si="1"/>
        <v>9024</v>
      </c>
      <c r="D30" s="380">
        <f t="shared" si="2"/>
        <v>752</v>
      </c>
      <c r="E30" s="380">
        <f t="shared" si="3"/>
        <v>2256</v>
      </c>
      <c r="F30" s="299">
        <v>26300</v>
      </c>
      <c r="G30" s="380">
        <f t="shared" si="4"/>
        <v>20487</v>
      </c>
      <c r="H30" s="380">
        <f t="shared" si="5"/>
        <v>18911</v>
      </c>
      <c r="I30" s="380">
        <f t="shared" si="6"/>
        <v>1576</v>
      </c>
      <c r="J30" s="380">
        <f t="shared" si="7"/>
        <v>4728</v>
      </c>
      <c r="K30" s="299">
        <v>51760</v>
      </c>
      <c r="L30" s="380">
        <f t="shared" si="8"/>
        <v>40319</v>
      </c>
      <c r="M30" s="380">
        <f t="shared" si="9"/>
        <v>37218</v>
      </c>
      <c r="N30" s="380">
        <f t="shared" si="10"/>
        <v>3101</v>
      </c>
      <c r="O30" s="381">
        <f t="shared" si="11"/>
        <v>9303</v>
      </c>
    </row>
    <row r="31" spans="1:15" ht="15">
      <c r="A31" s="297">
        <v>12910</v>
      </c>
      <c r="B31" s="380">
        <f t="shared" si="0"/>
        <v>10056</v>
      </c>
      <c r="C31" s="380">
        <f t="shared" si="1"/>
        <v>9283</v>
      </c>
      <c r="D31" s="380">
        <f t="shared" si="2"/>
        <v>773</v>
      </c>
      <c r="E31" s="380">
        <f t="shared" si="3"/>
        <v>2319</v>
      </c>
      <c r="F31" s="299">
        <v>27000</v>
      </c>
      <c r="G31" s="380">
        <f t="shared" si="4"/>
        <v>21032</v>
      </c>
      <c r="H31" s="380">
        <f t="shared" si="5"/>
        <v>19414</v>
      </c>
      <c r="I31" s="380">
        <f t="shared" si="6"/>
        <v>1618</v>
      </c>
      <c r="J31" s="380">
        <f t="shared" si="7"/>
        <v>4854</v>
      </c>
      <c r="K31" s="299">
        <v>53060</v>
      </c>
      <c r="L31" s="380">
        <f t="shared" si="8"/>
        <v>41332</v>
      </c>
      <c r="M31" s="380">
        <f t="shared" si="9"/>
        <v>38152</v>
      </c>
      <c r="N31" s="380">
        <f t="shared" si="10"/>
        <v>3180</v>
      </c>
      <c r="O31" s="381">
        <f t="shared" si="11"/>
        <v>9540</v>
      </c>
    </row>
    <row r="32" spans="1:15" ht="15">
      <c r="A32" s="297">
        <v>13270</v>
      </c>
      <c r="B32" s="380">
        <f t="shared" si="0"/>
        <v>10337</v>
      </c>
      <c r="C32" s="380">
        <f t="shared" si="1"/>
        <v>9542</v>
      </c>
      <c r="D32" s="380">
        <f t="shared" si="2"/>
        <v>795</v>
      </c>
      <c r="E32" s="380">
        <f t="shared" si="3"/>
        <v>2385</v>
      </c>
      <c r="F32" s="299">
        <v>27700</v>
      </c>
      <c r="G32" s="380">
        <f t="shared" si="4"/>
        <v>21577</v>
      </c>
      <c r="H32" s="380">
        <f t="shared" si="5"/>
        <v>19917</v>
      </c>
      <c r="I32" s="380">
        <f t="shared" si="6"/>
        <v>1660</v>
      </c>
      <c r="J32" s="380">
        <f t="shared" si="7"/>
        <v>4980</v>
      </c>
      <c r="K32" s="299">
        <v>54360</v>
      </c>
      <c r="L32" s="380">
        <f t="shared" si="8"/>
        <v>42344</v>
      </c>
      <c r="M32" s="380">
        <f t="shared" si="9"/>
        <v>39087</v>
      </c>
      <c r="N32" s="380">
        <f t="shared" si="10"/>
        <v>3257</v>
      </c>
      <c r="O32" s="381">
        <f t="shared" si="11"/>
        <v>9771</v>
      </c>
    </row>
    <row r="33" spans="1:15" ht="15">
      <c r="A33" s="297">
        <v>13660</v>
      </c>
      <c r="B33" s="380">
        <f t="shared" si="0"/>
        <v>10641</v>
      </c>
      <c r="C33" s="380">
        <f t="shared" si="1"/>
        <v>9822</v>
      </c>
      <c r="D33" s="380">
        <f t="shared" si="2"/>
        <v>819</v>
      </c>
      <c r="E33" s="380">
        <f t="shared" si="3"/>
        <v>2457</v>
      </c>
      <c r="F33" s="299">
        <v>28450</v>
      </c>
      <c r="G33" s="380">
        <f t="shared" si="4"/>
        <v>22161</v>
      </c>
      <c r="H33" s="380">
        <f t="shared" si="5"/>
        <v>20457</v>
      </c>
      <c r="I33" s="380">
        <f t="shared" si="6"/>
        <v>1704</v>
      </c>
      <c r="J33" s="380">
        <f t="shared" si="7"/>
        <v>5112</v>
      </c>
      <c r="K33" s="299">
        <v>55660</v>
      </c>
      <c r="L33" s="380">
        <f t="shared" si="8"/>
        <v>43357</v>
      </c>
      <c r="M33" s="380">
        <f t="shared" si="9"/>
        <v>40022</v>
      </c>
      <c r="N33" s="380">
        <f t="shared" si="10"/>
        <v>3335</v>
      </c>
      <c r="O33" s="381">
        <f t="shared" si="11"/>
        <v>10005</v>
      </c>
    </row>
    <row r="34" spans="1:15" ht="15">
      <c r="A34" s="297">
        <v>14050</v>
      </c>
      <c r="B34" s="380">
        <f t="shared" si="0"/>
        <v>10944</v>
      </c>
      <c r="C34" s="380">
        <f t="shared" si="1"/>
        <v>10103</v>
      </c>
      <c r="D34" s="380">
        <f t="shared" si="2"/>
        <v>841</v>
      </c>
      <c r="E34" s="380">
        <f t="shared" si="3"/>
        <v>2523</v>
      </c>
      <c r="F34" s="299">
        <v>29200</v>
      </c>
      <c r="G34" s="380">
        <f t="shared" si="4"/>
        <v>22746</v>
      </c>
      <c r="H34" s="380">
        <f t="shared" si="5"/>
        <v>20996</v>
      </c>
      <c r="I34" s="380">
        <f t="shared" si="6"/>
        <v>1750</v>
      </c>
      <c r="J34" s="380">
        <f t="shared" si="7"/>
        <v>5250</v>
      </c>
      <c r="K34" s="965" t="s">
        <v>253</v>
      </c>
      <c r="L34" s="966"/>
      <c r="M34" s="966"/>
      <c r="N34" s="966"/>
      <c r="O34" s="967"/>
    </row>
    <row r="35" spans="1:15" ht="48.75" customHeight="1">
      <c r="A35" s="968" t="s">
        <v>288</v>
      </c>
      <c r="B35" s="969"/>
      <c r="C35" s="969"/>
      <c r="D35" s="969"/>
      <c r="E35" s="969"/>
      <c r="F35" s="969"/>
      <c r="G35" s="969"/>
      <c r="H35" s="969"/>
      <c r="I35" s="969"/>
      <c r="J35" s="969"/>
      <c r="K35" s="969"/>
      <c r="L35" s="969"/>
      <c r="M35" s="969"/>
      <c r="N35" s="969"/>
      <c r="O35" s="970"/>
    </row>
    <row r="36" spans="1:15" ht="12" customHeight="1">
      <c r="A36" s="971" t="s">
        <v>289</v>
      </c>
      <c r="B36" s="972"/>
      <c r="C36" s="972"/>
      <c r="D36" s="972"/>
      <c r="E36" s="972"/>
      <c r="F36" s="972"/>
      <c r="G36" s="972"/>
      <c r="H36" s="972"/>
      <c r="I36" s="972"/>
      <c r="J36" s="972"/>
      <c r="K36" s="972"/>
      <c r="L36" s="972"/>
      <c r="M36" s="972"/>
      <c r="N36" s="972"/>
      <c r="O36" s="973"/>
    </row>
    <row r="37" spans="1:15" ht="12" customHeight="1" thickBot="1">
      <c r="A37" s="974" t="s">
        <v>290</v>
      </c>
      <c r="B37" s="975"/>
      <c r="C37" s="975"/>
      <c r="D37" s="975"/>
      <c r="E37" s="975"/>
      <c r="F37" s="975"/>
      <c r="G37" s="975"/>
      <c r="H37" s="975"/>
      <c r="I37" s="975"/>
      <c r="J37" s="975"/>
      <c r="K37" s="975"/>
      <c r="L37" s="975"/>
      <c r="M37" s="975"/>
      <c r="N37" s="975"/>
      <c r="O37" s="976"/>
    </row>
    <row r="38" spans="1:15" ht="15.75" thickTop="1">
      <c r="A38" s="977" t="s">
        <v>291</v>
      </c>
      <c r="B38" s="943"/>
      <c r="C38" s="943"/>
      <c r="D38" s="943"/>
      <c r="E38" s="978"/>
      <c r="F38" s="943" t="s">
        <v>292</v>
      </c>
      <c r="G38" s="943"/>
      <c r="H38" s="943"/>
      <c r="I38" s="943"/>
      <c r="J38" s="944" t="s">
        <v>293</v>
      </c>
      <c r="K38" s="945"/>
      <c r="L38" s="945"/>
      <c r="M38" s="945"/>
      <c r="N38" s="945"/>
      <c r="O38" s="946"/>
    </row>
    <row r="39" spans="1:15" ht="15">
      <c r="A39" s="382" t="s">
        <v>294</v>
      </c>
      <c r="B39" s="951" t="s">
        <v>295</v>
      </c>
      <c r="C39" s="951"/>
      <c r="D39" s="951" t="s">
        <v>183</v>
      </c>
      <c r="E39" s="952"/>
      <c r="F39" s="383" t="s">
        <v>10</v>
      </c>
      <c r="G39" s="951" t="s">
        <v>295</v>
      </c>
      <c r="H39" s="951"/>
      <c r="I39" s="384" t="s">
        <v>183</v>
      </c>
      <c r="J39" s="947"/>
      <c r="K39" s="947"/>
      <c r="L39" s="947"/>
      <c r="M39" s="947"/>
      <c r="N39" s="947"/>
      <c r="O39" s="948"/>
    </row>
    <row r="40" spans="1:15" ht="15">
      <c r="A40" s="385">
        <v>1</v>
      </c>
      <c r="B40" s="953" t="s">
        <v>296</v>
      </c>
      <c r="C40" s="953"/>
      <c r="D40" s="951">
        <v>250</v>
      </c>
      <c r="E40" s="952"/>
      <c r="F40" s="386">
        <v>1</v>
      </c>
      <c r="G40" s="951" t="s">
        <v>297</v>
      </c>
      <c r="H40" s="951"/>
      <c r="I40" s="383" t="s">
        <v>136</v>
      </c>
      <c r="J40" s="947"/>
      <c r="K40" s="947"/>
      <c r="L40" s="947"/>
      <c r="M40" s="947"/>
      <c r="N40" s="947"/>
      <c r="O40" s="948"/>
    </row>
    <row r="41" spans="1:15" ht="15">
      <c r="A41" s="385">
        <v>2</v>
      </c>
      <c r="B41" s="953" t="s">
        <v>298</v>
      </c>
      <c r="C41" s="953"/>
      <c r="D41" s="951">
        <v>350</v>
      </c>
      <c r="E41" s="952"/>
      <c r="F41" s="386">
        <v>2</v>
      </c>
      <c r="G41" s="383" t="s">
        <v>299</v>
      </c>
      <c r="H41" s="383"/>
      <c r="I41" s="383">
        <v>60</v>
      </c>
      <c r="J41" s="947"/>
      <c r="K41" s="947"/>
      <c r="L41" s="947"/>
      <c r="M41" s="947"/>
      <c r="N41" s="947"/>
      <c r="O41" s="948"/>
    </row>
    <row r="42" spans="1:15" ht="15">
      <c r="A42" s="385">
        <v>3</v>
      </c>
      <c r="B42" s="953" t="s">
        <v>300</v>
      </c>
      <c r="C42" s="953"/>
      <c r="D42" s="951">
        <v>450</v>
      </c>
      <c r="E42" s="952"/>
      <c r="F42" s="386">
        <v>3</v>
      </c>
      <c r="G42" s="383" t="s">
        <v>301</v>
      </c>
      <c r="H42" s="383"/>
      <c r="I42" s="383">
        <v>80</v>
      </c>
      <c r="J42" s="947"/>
      <c r="K42" s="947"/>
      <c r="L42" s="947"/>
      <c r="M42" s="947"/>
      <c r="N42" s="947"/>
      <c r="O42" s="948"/>
    </row>
    <row r="43" spans="1:15" ht="15">
      <c r="A43" s="385">
        <v>4</v>
      </c>
      <c r="B43" s="953" t="s">
        <v>302</v>
      </c>
      <c r="C43" s="953"/>
      <c r="D43" s="951">
        <v>600</v>
      </c>
      <c r="E43" s="952"/>
      <c r="F43" s="386">
        <v>4</v>
      </c>
      <c r="G43" s="383" t="s">
        <v>303</v>
      </c>
      <c r="H43" s="383"/>
      <c r="I43" s="383">
        <v>100</v>
      </c>
      <c r="J43" s="947"/>
      <c r="K43" s="947"/>
      <c r="L43" s="947"/>
      <c r="M43" s="947"/>
      <c r="N43" s="947"/>
      <c r="O43" s="948"/>
    </row>
    <row r="44" spans="1:15" ht="15">
      <c r="A44" s="385">
        <v>5</v>
      </c>
      <c r="B44" s="387" t="s">
        <v>304</v>
      </c>
      <c r="C44" s="387"/>
      <c r="D44" s="951">
        <v>750</v>
      </c>
      <c r="E44" s="952"/>
      <c r="F44" s="386">
        <v>5</v>
      </c>
      <c r="G44" s="383" t="s">
        <v>305</v>
      </c>
      <c r="H44" s="383"/>
      <c r="I44" s="383">
        <v>150</v>
      </c>
      <c r="J44" s="947"/>
      <c r="K44" s="947"/>
      <c r="L44" s="947"/>
      <c r="M44" s="947"/>
      <c r="N44" s="947"/>
      <c r="O44" s="948"/>
    </row>
    <row r="45" spans="1:15" ht="15.75" thickBot="1">
      <c r="A45" s="388">
        <v>6</v>
      </c>
      <c r="B45" s="389" t="s">
        <v>306</v>
      </c>
      <c r="C45" s="389"/>
      <c r="D45" s="979">
        <v>1000</v>
      </c>
      <c r="E45" s="980"/>
      <c r="F45" s="390">
        <v>6</v>
      </c>
      <c r="G45" s="391" t="s">
        <v>307</v>
      </c>
      <c r="H45" s="391"/>
      <c r="I45" s="391">
        <v>200</v>
      </c>
      <c r="J45" s="949"/>
      <c r="K45" s="949"/>
      <c r="L45" s="949"/>
      <c r="M45" s="949"/>
      <c r="N45" s="949"/>
      <c r="O45" s="950"/>
    </row>
    <row r="46" ht="15.75" thickTop="1"/>
    <row r="93" ht="15" hidden="1"/>
    <row r="94" spans="1:2" ht="15" hidden="1">
      <c r="A94" s="49">
        <v>3</v>
      </c>
      <c r="B94" s="49">
        <f>IF(ISERROR(VLOOKUP(A94,A95:B174,2,0)),"",VLOOKUP(A94,A95:B174,2,0))</f>
        <v>7100</v>
      </c>
    </row>
    <row r="95" spans="1:2" ht="15" hidden="1">
      <c r="A95" s="49">
        <f>ROWS($A$1:A1)</f>
        <v>1</v>
      </c>
      <c r="B95" s="296">
        <v>6700</v>
      </c>
    </row>
    <row r="96" spans="1:2" ht="15" hidden="1">
      <c r="A96" s="49">
        <f>ROWS($A$1:A2)</f>
        <v>2</v>
      </c>
      <c r="B96" s="297">
        <v>6900</v>
      </c>
    </row>
    <row r="97" spans="1:2" ht="15" hidden="1">
      <c r="A97" s="49">
        <f>ROWS($A$1:A3)</f>
        <v>3</v>
      </c>
      <c r="B97" s="297">
        <v>7100</v>
      </c>
    </row>
    <row r="98" spans="1:2" ht="15" hidden="1">
      <c r="A98" s="49">
        <f>ROWS($A$1:A6)</f>
        <v>6</v>
      </c>
      <c r="B98" s="297">
        <v>7300</v>
      </c>
    </row>
    <row r="99" spans="1:2" ht="15" hidden="1">
      <c r="A99" s="49">
        <f>ROWS($A$1:A7)</f>
        <v>7</v>
      </c>
      <c r="B99" s="297">
        <v>7520</v>
      </c>
    </row>
    <row r="100" spans="1:2" ht="15" hidden="1">
      <c r="A100" s="49">
        <f>ROWS($A$1:A8)</f>
        <v>8</v>
      </c>
      <c r="B100" s="297">
        <v>7740</v>
      </c>
    </row>
    <row r="101" spans="1:2" ht="15" hidden="1">
      <c r="A101" s="49">
        <f>ROWS($A$1:A9)</f>
        <v>9</v>
      </c>
      <c r="B101" s="297">
        <v>7960</v>
      </c>
    </row>
    <row r="102" spans="1:2" ht="15" hidden="1">
      <c r="A102" s="49">
        <f>ROWS($A$1:A10)</f>
        <v>10</v>
      </c>
      <c r="B102" s="297">
        <v>8200</v>
      </c>
    </row>
    <row r="103" spans="1:2" ht="15" hidden="1">
      <c r="A103" s="49">
        <f>ROWS($A$1:A11)</f>
        <v>11</v>
      </c>
      <c r="B103" s="297">
        <v>8440</v>
      </c>
    </row>
    <row r="104" spans="1:2" ht="15" hidden="1">
      <c r="A104" s="49">
        <f>ROWS($A$1:A12)</f>
        <v>12</v>
      </c>
      <c r="B104" s="297">
        <v>8680</v>
      </c>
    </row>
    <row r="105" spans="1:2" ht="15" hidden="1">
      <c r="A105" s="49">
        <f>ROWS($A$1:A13)</f>
        <v>13</v>
      </c>
      <c r="B105" s="297">
        <v>8940</v>
      </c>
    </row>
    <row r="106" spans="1:2" ht="15" hidden="1">
      <c r="A106" s="49">
        <f>ROWS($A$1:A14)</f>
        <v>14</v>
      </c>
      <c r="B106" s="297">
        <v>9200</v>
      </c>
    </row>
    <row r="107" spans="1:2" ht="15" hidden="1">
      <c r="A107" s="49">
        <f>ROWS($A$1:A15)</f>
        <v>15</v>
      </c>
      <c r="B107" s="297">
        <v>9460</v>
      </c>
    </row>
    <row r="108" spans="1:2" ht="15" hidden="1">
      <c r="A108" s="49">
        <f>ROWS($A$1:A16)</f>
        <v>16</v>
      </c>
      <c r="B108" s="297">
        <v>9740</v>
      </c>
    </row>
    <row r="109" spans="1:2" ht="15" hidden="1">
      <c r="A109" s="49">
        <f>ROWS($A$1:A17)</f>
        <v>17</v>
      </c>
      <c r="B109" s="297">
        <v>10020</v>
      </c>
    </row>
    <row r="110" spans="1:2" ht="15" hidden="1">
      <c r="A110" s="49">
        <f>ROWS($A$1:A18)</f>
        <v>18</v>
      </c>
      <c r="B110" s="297">
        <v>10300</v>
      </c>
    </row>
    <row r="111" spans="1:2" ht="15" hidden="1">
      <c r="A111" s="49">
        <f>ROWS($A$1:A19)</f>
        <v>19</v>
      </c>
      <c r="B111" s="297">
        <v>10600</v>
      </c>
    </row>
    <row r="112" spans="1:2" ht="15" hidden="1">
      <c r="A112" s="49">
        <f>ROWS($A$1:A20)</f>
        <v>20</v>
      </c>
      <c r="B112" s="297">
        <v>10900</v>
      </c>
    </row>
    <row r="113" spans="1:2" ht="15" hidden="1">
      <c r="A113" s="49">
        <f>ROWS($A$1:A21)</f>
        <v>21</v>
      </c>
      <c r="B113" s="297">
        <v>11200</v>
      </c>
    </row>
    <row r="114" spans="1:2" ht="15" hidden="1">
      <c r="A114" s="49">
        <f>ROWS($A$1:A22)</f>
        <v>22</v>
      </c>
      <c r="B114" s="297">
        <v>11530</v>
      </c>
    </row>
    <row r="115" spans="1:2" ht="15" hidden="1">
      <c r="A115" s="49">
        <f>ROWS($A$1:A23)</f>
        <v>23</v>
      </c>
      <c r="B115" s="297">
        <v>11860</v>
      </c>
    </row>
    <row r="116" spans="1:2" ht="15" hidden="1">
      <c r="A116" s="49">
        <f>ROWS($A$1:A24)</f>
        <v>24</v>
      </c>
      <c r="B116" s="297">
        <v>12190</v>
      </c>
    </row>
    <row r="117" spans="1:2" ht="15" hidden="1">
      <c r="A117" s="49">
        <f>ROWS($A$1:A25)</f>
        <v>25</v>
      </c>
      <c r="B117" s="297">
        <v>12550</v>
      </c>
    </row>
    <row r="118" spans="1:2" ht="15" hidden="1">
      <c r="A118" s="49">
        <f>ROWS($A$1:A26)</f>
        <v>26</v>
      </c>
      <c r="B118" s="297">
        <v>12910</v>
      </c>
    </row>
    <row r="119" spans="1:2" ht="15" hidden="1">
      <c r="A119" s="49">
        <f>ROWS($A$1:A27)</f>
        <v>27</v>
      </c>
      <c r="B119" s="297">
        <v>13270</v>
      </c>
    </row>
    <row r="120" spans="1:2" ht="15" hidden="1">
      <c r="A120" s="49">
        <f>ROWS($A$1:A28)</f>
        <v>28</v>
      </c>
      <c r="B120" s="297">
        <v>13660</v>
      </c>
    </row>
    <row r="121" spans="1:2" ht="15.75" hidden="1" thickBot="1">
      <c r="A121" s="49">
        <f>ROWS($A$1:A29)</f>
        <v>29</v>
      </c>
      <c r="B121" s="298">
        <v>14050</v>
      </c>
    </row>
    <row r="122" spans="1:2" ht="15" hidden="1">
      <c r="A122" s="49">
        <f>ROWS($A$1:A30)</f>
        <v>30</v>
      </c>
      <c r="B122" s="299">
        <v>14440</v>
      </c>
    </row>
    <row r="123" spans="1:2" ht="15" hidden="1">
      <c r="A123" s="49">
        <f>ROWS($A$1:A31)</f>
        <v>31</v>
      </c>
      <c r="B123" s="299">
        <v>14860</v>
      </c>
    </row>
    <row r="124" spans="1:2" ht="15" hidden="1">
      <c r="A124" s="49">
        <f>ROWS($A$1:A32)</f>
        <v>32</v>
      </c>
      <c r="B124" s="299">
        <v>15280</v>
      </c>
    </row>
    <row r="125" spans="1:2" ht="15" hidden="1">
      <c r="A125" s="49">
        <f>ROWS($A$1:A33)</f>
        <v>33</v>
      </c>
      <c r="B125" s="299">
        <v>15700</v>
      </c>
    </row>
    <row r="126" spans="1:2" ht="15" hidden="1">
      <c r="A126" s="49">
        <f>ROWS($A$1:A34)</f>
        <v>34</v>
      </c>
      <c r="B126" s="299">
        <v>16150</v>
      </c>
    </row>
    <row r="127" spans="1:2" ht="15" hidden="1">
      <c r="A127" s="49">
        <f>ROWS($A$1:A35)</f>
        <v>35</v>
      </c>
      <c r="B127" s="299">
        <v>16600</v>
      </c>
    </row>
    <row r="128" spans="1:2" ht="15" hidden="1">
      <c r="A128" s="49">
        <f>ROWS($A$1:A36)</f>
        <v>36</v>
      </c>
      <c r="B128" s="299">
        <v>17050</v>
      </c>
    </row>
    <row r="129" spans="1:2" ht="15" hidden="1">
      <c r="A129" s="49">
        <f>ROWS($A$1:A36)</f>
        <v>36</v>
      </c>
      <c r="B129" s="299">
        <v>17540</v>
      </c>
    </row>
    <row r="130" spans="1:2" ht="15" hidden="1">
      <c r="A130" s="49">
        <f>ROWS($A$1:A36)</f>
        <v>36</v>
      </c>
      <c r="B130" s="299">
        <v>18030</v>
      </c>
    </row>
    <row r="131" spans="1:2" ht="15" hidden="1">
      <c r="A131" s="49">
        <f>ROWS($A$1:A36)</f>
        <v>36</v>
      </c>
      <c r="B131" s="299">
        <v>18520</v>
      </c>
    </row>
    <row r="132" spans="1:2" ht="15" hidden="1">
      <c r="A132" s="49">
        <f>ROWS($A$1:A36)</f>
        <v>36</v>
      </c>
      <c r="B132" s="299">
        <v>19050</v>
      </c>
    </row>
    <row r="133" spans="1:2" ht="15" hidden="1">
      <c r="A133" s="49">
        <f>ROWS($A$1:A36)</f>
        <v>36</v>
      </c>
      <c r="B133" s="299">
        <v>19580</v>
      </c>
    </row>
    <row r="134" spans="1:2" ht="15" hidden="1">
      <c r="A134" s="49">
        <f>ROWS($A$1:A36)</f>
        <v>36</v>
      </c>
      <c r="B134" s="299">
        <v>20110</v>
      </c>
    </row>
    <row r="135" spans="1:2" ht="15" hidden="1">
      <c r="A135" s="49">
        <f>ROWS($A$1:A36)</f>
        <v>36</v>
      </c>
      <c r="B135" s="299">
        <v>20680</v>
      </c>
    </row>
    <row r="136" spans="1:2" ht="15" hidden="1">
      <c r="A136" s="49">
        <f>ROWS($A$1:A37)</f>
        <v>37</v>
      </c>
      <c r="B136" s="299">
        <v>21250</v>
      </c>
    </row>
    <row r="137" spans="1:2" ht="15" hidden="1">
      <c r="A137" s="49">
        <f>ROWS($A$1:A38)</f>
        <v>38</v>
      </c>
      <c r="B137" s="299">
        <v>21820</v>
      </c>
    </row>
    <row r="138" spans="1:2" ht="15" hidden="1">
      <c r="A138" s="49">
        <f>ROWS($A$1:A39)</f>
        <v>39</v>
      </c>
      <c r="B138" s="299">
        <v>22430</v>
      </c>
    </row>
    <row r="139" spans="1:2" ht="15" hidden="1">
      <c r="A139" s="49">
        <f>ROWS($A$1:A40)</f>
        <v>40</v>
      </c>
      <c r="B139" s="299">
        <v>23040</v>
      </c>
    </row>
    <row r="140" spans="1:2" ht="15" hidden="1">
      <c r="A140" s="49">
        <f>ROWS($A$1:A41)</f>
        <v>41</v>
      </c>
      <c r="B140" s="299">
        <v>23650</v>
      </c>
    </row>
    <row r="141" spans="1:2" ht="15" hidden="1">
      <c r="A141" s="49">
        <f>ROWS($A$1:A42)</f>
        <v>42</v>
      </c>
      <c r="B141" s="299">
        <v>24300</v>
      </c>
    </row>
    <row r="142" spans="1:2" ht="15" hidden="1">
      <c r="A142" s="49">
        <f>ROWS($A$1:A43)</f>
        <v>43</v>
      </c>
      <c r="B142" s="299">
        <v>24950</v>
      </c>
    </row>
    <row r="143" spans="1:2" ht="15" hidden="1">
      <c r="A143" s="49">
        <f>ROWS($A$1:A44)</f>
        <v>44</v>
      </c>
      <c r="B143" s="299">
        <v>25600</v>
      </c>
    </row>
    <row r="144" spans="1:2" ht="15" hidden="1">
      <c r="A144" s="49">
        <f>ROWS($A$1:A45)</f>
        <v>45</v>
      </c>
      <c r="B144" s="299">
        <v>26300</v>
      </c>
    </row>
    <row r="145" spans="1:2" ht="15" hidden="1">
      <c r="A145" s="49">
        <f>ROWS($A$1:A46)</f>
        <v>46</v>
      </c>
      <c r="B145" s="299">
        <v>27000</v>
      </c>
    </row>
    <row r="146" spans="1:2" ht="15" hidden="1">
      <c r="A146" s="49">
        <f>ROWS($A$1:A47)</f>
        <v>47</v>
      </c>
      <c r="B146" s="299">
        <v>27700</v>
      </c>
    </row>
    <row r="147" spans="1:2" ht="15" hidden="1">
      <c r="A147" s="49">
        <f>ROWS($A$1:A48)</f>
        <v>48</v>
      </c>
      <c r="B147" s="299">
        <v>28450</v>
      </c>
    </row>
    <row r="148" spans="1:2" ht="15.75" hidden="1" thickBot="1">
      <c r="A148" s="49">
        <f>ROWS($A$1:A49)</f>
        <v>49</v>
      </c>
      <c r="B148" s="300">
        <v>29200</v>
      </c>
    </row>
    <row r="149" spans="1:2" ht="15" hidden="1">
      <c r="A149" s="49">
        <f>ROWS($A$1:A50)</f>
        <v>50</v>
      </c>
      <c r="B149" s="299">
        <v>29950</v>
      </c>
    </row>
    <row r="150" spans="1:2" ht="15" hidden="1">
      <c r="A150" s="49">
        <f>ROWS($A$1:A51)</f>
        <v>51</v>
      </c>
      <c r="B150" s="299">
        <v>30750</v>
      </c>
    </row>
    <row r="151" spans="1:2" ht="15" hidden="1">
      <c r="A151" s="49">
        <f>ROWS($A$1:A52)</f>
        <v>52</v>
      </c>
      <c r="B151" s="299">
        <v>31550</v>
      </c>
    </row>
    <row r="152" spans="1:2" ht="15" hidden="1">
      <c r="A152" s="49">
        <f>ROWS($A$1:A53)</f>
        <v>53</v>
      </c>
      <c r="B152" s="299">
        <v>32350</v>
      </c>
    </row>
    <row r="153" spans="1:2" ht="15" hidden="1">
      <c r="A153" s="49">
        <f>ROWS($A$1:A54)</f>
        <v>54</v>
      </c>
      <c r="B153" s="299">
        <v>33200</v>
      </c>
    </row>
    <row r="154" spans="1:2" ht="15" hidden="1">
      <c r="A154" s="49">
        <f>ROWS($A$1:A55)</f>
        <v>55</v>
      </c>
      <c r="B154" s="299">
        <v>34050</v>
      </c>
    </row>
    <row r="155" spans="1:2" ht="15" hidden="1">
      <c r="A155" s="49">
        <f>ROWS($A$1:A56)</f>
        <v>56</v>
      </c>
      <c r="B155" s="299">
        <v>34900</v>
      </c>
    </row>
    <row r="156" spans="1:2" ht="15" hidden="1">
      <c r="A156" s="49">
        <f>ROWS($A$1:A57)</f>
        <v>57</v>
      </c>
      <c r="B156" s="299">
        <v>35800</v>
      </c>
    </row>
    <row r="157" spans="1:2" ht="15" hidden="1">
      <c r="A157" s="49">
        <f>ROWS($A$1:A58)</f>
        <v>58</v>
      </c>
      <c r="B157" s="299">
        <v>36700</v>
      </c>
    </row>
    <row r="158" spans="1:2" ht="15" hidden="1">
      <c r="A158" s="49">
        <f>ROWS($A$1:A59)</f>
        <v>59</v>
      </c>
      <c r="B158" s="299">
        <v>37600</v>
      </c>
    </row>
    <row r="159" spans="1:2" ht="15" hidden="1">
      <c r="A159" s="49">
        <f>ROWS($A$1:A60)</f>
        <v>60</v>
      </c>
      <c r="B159" s="299">
        <v>38570</v>
      </c>
    </row>
    <row r="160" spans="1:2" ht="15" hidden="1">
      <c r="A160" s="49">
        <f>ROWS($A$1:A61)</f>
        <v>61</v>
      </c>
      <c r="B160" s="299">
        <v>39540</v>
      </c>
    </row>
    <row r="161" spans="1:2" ht="15" hidden="1">
      <c r="A161" s="49">
        <f>ROWS($A$1:A62)</f>
        <v>62</v>
      </c>
      <c r="B161" s="299">
        <v>40510</v>
      </c>
    </row>
    <row r="162" spans="1:2" ht="15" hidden="1">
      <c r="A162" s="49">
        <f>ROWS($A$1:A63)</f>
        <v>63</v>
      </c>
      <c r="B162" s="299">
        <v>41550</v>
      </c>
    </row>
    <row r="163" spans="1:2" ht="15" hidden="1">
      <c r="A163" s="49">
        <f>ROWS($A$1:A64)</f>
        <v>64</v>
      </c>
      <c r="B163" s="299">
        <v>42590</v>
      </c>
    </row>
    <row r="164" spans="1:2" ht="15" hidden="1">
      <c r="A164" s="49">
        <f>ROWS($A$1:A65)</f>
        <v>65</v>
      </c>
      <c r="B164" s="299">
        <v>43630</v>
      </c>
    </row>
    <row r="165" spans="1:2" ht="15" hidden="1">
      <c r="A165" s="49">
        <f>ROWS($A$1:A66)</f>
        <v>66</v>
      </c>
      <c r="B165" s="299">
        <v>44740</v>
      </c>
    </row>
    <row r="166" spans="1:2" ht="15" hidden="1">
      <c r="A166" s="49">
        <f>ROWS($A$1:A67)</f>
        <v>67</v>
      </c>
      <c r="B166" s="299">
        <v>45850</v>
      </c>
    </row>
    <row r="167" spans="1:2" ht="15" hidden="1">
      <c r="A167" s="49">
        <f>ROWS($A$1:A68)</f>
        <v>68</v>
      </c>
      <c r="B167" s="299">
        <v>46960</v>
      </c>
    </row>
    <row r="168" spans="1:2" ht="15" hidden="1">
      <c r="A168" s="49">
        <f>ROWS($A$1:A69)</f>
        <v>69</v>
      </c>
      <c r="B168" s="299">
        <v>48160</v>
      </c>
    </row>
    <row r="169" spans="1:2" ht="15" hidden="1">
      <c r="A169" s="49">
        <f>ROWS($A$1:A70)</f>
        <v>70</v>
      </c>
      <c r="B169" s="299">
        <v>49360</v>
      </c>
    </row>
    <row r="170" spans="1:2" ht="15" hidden="1">
      <c r="A170" s="49">
        <f>ROWS($A$1:A71)</f>
        <v>71</v>
      </c>
      <c r="B170" s="299">
        <v>50560</v>
      </c>
    </row>
    <row r="171" spans="1:2" ht="15" hidden="1">
      <c r="A171" s="49">
        <f>ROWS($A$1:A72)</f>
        <v>72</v>
      </c>
      <c r="B171" s="299">
        <v>51760</v>
      </c>
    </row>
    <row r="172" spans="1:2" ht="15" hidden="1">
      <c r="A172" s="49">
        <f>ROWS($A$1:A73)</f>
        <v>73</v>
      </c>
      <c r="B172" s="299">
        <v>53060</v>
      </c>
    </row>
    <row r="173" spans="1:2" ht="15" hidden="1">
      <c r="A173" s="49">
        <f>ROWS($A$1:A74)</f>
        <v>74</v>
      </c>
      <c r="B173" s="299">
        <v>54360</v>
      </c>
    </row>
    <row r="174" spans="1:2" ht="15" hidden="1">
      <c r="A174" s="49">
        <f>ROWS($A$1:A75)</f>
        <v>75</v>
      </c>
      <c r="B174" s="299">
        <v>55660</v>
      </c>
    </row>
    <row r="175" ht="15" hidden="1"/>
    <row r="176" ht="15" hidden="1"/>
  </sheetData>
  <sheetProtection/>
  <mergeCells count="27">
    <mergeCell ref="A38:E38"/>
    <mergeCell ref="B43:C43"/>
    <mergeCell ref="D43:E43"/>
    <mergeCell ref="D44:E44"/>
    <mergeCell ref="D45:E45"/>
    <mergeCell ref="B40:C40"/>
    <mergeCell ref="D40:E40"/>
    <mergeCell ref="A1:O2"/>
    <mergeCell ref="A3:G3"/>
    <mergeCell ref="J3:O3"/>
    <mergeCell ref="A4:O4"/>
    <mergeCell ref="A5:O5"/>
    <mergeCell ref="G40:H40"/>
    <mergeCell ref="K34:O34"/>
    <mergeCell ref="A35:O35"/>
    <mergeCell ref="A36:O36"/>
    <mergeCell ref="A37:O37"/>
    <mergeCell ref="A6:O6"/>
    <mergeCell ref="F38:I38"/>
    <mergeCell ref="J38:O45"/>
    <mergeCell ref="B39:C39"/>
    <mergeCell ref="D39:E39"/>
    <mergeCell ref="G39:H39"/>
    <mergeCell ref="B41:C41"/>
    <mergeCell ref="D41:E41"/>
    <mergeCell ref="B42:C42"/>
    <mergeCell ref="D42:E42"/>
  </mergeCells>
  <hyperlinks>
    <hyperlink ref="K34" r:id="rId1" display="www.apteacher.net"/>
    <hyperlink ref="J38" r:id="rId2" display="www.apteacher.net"/>
  </hyperlinks>
  <printOptions/>
  <pageMargins left="0.7" right="0.7" top="0.75" bottom="0.75" header="0.3" footer="0.3"/>
  <pageSetup fitToHeight="0" fitToWidth="1" horizontalDpi="600" verticalDpi="600" orientation="portrait" paperSize="9" scale="93" r:id="rId5"/>
  <drawing r:id="rId4"/>
  <legacyDrawing r:id="rId3"/>
</worksheet>
</file>

<file path=xl/worksheets/sheet2.xml><?xml version="1.0" encoding="utf-8"?>
<worksheet xmlns="http://schemas.openxmlformats.org/spreadsheetml/2006/main" xmlns:r="http://schemas.openxmlformats.org/officeDocument/2006/relationships">
  <sheetPr codeName="Sheet1">
    <tabColor theme="2" tint="-0.7499799728393555"/>
  </sheetPr>
  <dimension ref="B1:CF255"/>
  <sheetViews>
    <sheetView showGridLines="0" showRowColHeaders="0" tabSelected="1" workbookViewId="0" topLeftCell="AK1">
      <selection activeCell="BH6" sqref="BH6:BJ14"/>
    </sheetView>
  </sheetViews>
  <sheetFormatPr defaultColWidth="9.140625" defaultRowHeight="15"/>
  <cols>
    <col min="1" max="1" width="7.140625" style="48" hidden="1" customWidth="1"/>
    <col min="2" max="2" width="10.421875" style="48" hidden="1" customWidth="1"/>
    <col min="3" max="3" width="39.57421875" style="48" hidden="1" customWidth="1"/>
    <col min="4" max="4" width="105.140625" style="48" hidden="1" customWidth="1"/>
    <col min="5" max="6" width="7.00390625" style="48" hidden="1" customWidth="1"/>
    <col min="7" max="7" width="5.57421875" style="48" hidden="1" customWidth="1"/>
    <col min="8" max="8" width="5.7109375" style="48" hidden="1" customWidth="1"/>
    <col min="9" max="9" width="49.57421875" style="48" hidden="1" customWidth="1"/>
    <col min="10" max="10" width="26.7109375" style="48" hidden="1" customWidth="1"/>
    <col min="11" max="11" width="2.00390625" style="48" hidden="1" customWidth="1"/>
    <col min="12" max="12" width="5.00390625" style="48" hidden="1" customWidth="1"/>
    <col min="13" max="13" width="26.7109375" style="48" hidden="1" customWidth="1"/>
    <col min="14" max="14" width="15.7109375" style="48" hidden="1" customWidth="1"/>
    <col min="15" max="15" width="14.7109375" style="48" hidden="1" customWidth="1"/>
    <col min="16" max="16" width="25.57421875" style="48" hidden="1" customWidth="1"/>
    <col min="17" max="17" width="15.7109375" style="48" hidden="1" customWidth="1"/>
    <col min="18" max="18" width="19.28125" style="48" hidden="1" customWidth="1"/>
    <col min="19" max="19" width="45.7109375" style="48" hidden="1" customWidth="1"/>
    <col min="20" max="20" width="17.00390625" style="48" hidden="1" customWidth="1"/>
    <col min="21" max="21" width="49.421875" style="48" hidden="1" customWidth="1"/>
    <col min="22" max="22" width="7.00390625" style="48" hidden="1" customWidth="1"/>
    <col min="23" max="23" width="10.8515625" style="48" hidden="1" customWidth="1"/>
    <col min="24" max="24" width="76.421875" style="48" hidden="1" customWidth="1"/>
    <col min="25" max="25" width="6.57421875" style="48" hidden="1" customWidth="1"/>
    <col min="26" max="26" width="4.57421875" style="48" hidden="1" customWidth="1"/>
    <col min="27" max="27" width="3.57421875" style="48" hidden="1" customWidth="1"/>
    <col min="28" max="32" width="7.00390625" style="48" hidden="1" customWidth="1"/>
    <col min="33" max="34" width="8.421875" style="48" hidden="1" customWidth="1"/>
    <col min="35" max="35" width="3.7109375" style="48" bestFit="1" customWidth="1"/>
    <col min="36" max="36" width="19.00390625" style="48" bestFit="1" customWidth="1"/>
    <col min="37" max="44" width="6.28125" style="48" customWidth="1"/>
    <col min="45" max="45" width="6.57421875" style="48" customWidth="1"/>
    <col min="46" max="52" width="6.28125" style="48" customWidth="1"/>
    <col min="53" max="53" width="2.8515625" style="48" customWidth="1"/>
    <col min="54" max="59" width="6.28125" style="48" customWidth="1"/>
    <col min="60" max="16384" width="9.140625" style="48" customWidth="1"/>
  </cols>
  <sheetData>
    <row r="1" spans="35:84" ht="18" customHeight="1" thickTop="1">
      <c r="AI1" s="183"/>
      <c r="AJ1" s="184" t="s">
        <v>253</v>
      </c>
      <c r="AK1" s="410"/>
      <c r="AL1" s="184"/>
      <c r="AM1" s="184"/>
      <c r="AN1" s="184"/>
      <c r="AO1" s="410"/>
      <c r="AP1" s="184"/>
      <c r="AQ1" s="184"/>
      <c r="AR1" s="410"/>
      <c r="AS1" s="184"/>
      <c r="AT1" s="410"/>
      <c r="AU1" s="184"/>
      <c r="AV1" s="184"/>
      <c r="AW1" s="184"/>
      <c r="AX1" s="184" t="s">
        <v>253</v>
      </c>
      <c r="AY1" s="184"/>
      <c r="AZ1" s="184"/>
      <c r="BA1" s="185"/>
      <c r="BB1" s="186"/>
      <c r="BC1" s="187"/>
      <c r="BD1" s="187"/>
      <c r="BE1" s="187"/>
      <c r="BF1" s="187"/>
      <c r="BG1" s="188"/>
      <c r="BH1" s="506" t="s">
        <v>595</v>
      </c>
      <c r="BI1" s="507"/>
      <c r="BJ1" s="507"/>
      <c r="BK1" s="181"/>
      <c r="BL1" s="181"/>
      <c r="BM1" s="181"/>
      <c r="BN1" s="181"/>
      <c r="BO1" s="181"/>
      <c r="BP1" s="181"/>
      <c r="BQ1" s="181"/>
      <c r="BR1" s="181"/>
      <c r="BS1" s="181"/>
      <c r="BT1" s="181"/>
      <c r="BU1" s="181"/>
      <c r="BV1" s="181"/>
      <c r="BW1" s="181"/>
      <c r="BX1" s="181"/>
      <c r="BY1" s="181"/>
      <c r="BZ1" s="181"/>
      <c r="CA1" s="181"/>
      <c r="CB1" s="181"/>
      <c r="CC1" s="181"/>
      <c r="CD1" s="181"/>
      <c r="CE1" s="181"/>
      <c r="CF1" s="181"/>
    </row>
    <row r="2" spans="35:84" ht="33" customHeight="1" thickBot="1">
      <c r="AI2" s="189"/>
      <c r="AJ2" s="611" t="s">
        <v>562</v>
      </c>
      <c r="AK2" s="611"/>
      <c r="AL2" s="611"/>
      <c r="AM2" s="611"/>
      <c r="AN2" s="611"/>
      <c r="AO2" s="611"/>
      <c r="AP2" s="611"/>
      <c r="AQ2" s="611"/>
      <c r="AR2" s="611"/>
      <c r="AS2" s="611"/>
      <c r="AT2" s="611"/>
      <c r="AU2" s="611"/>
      <c r="AV2" s="611"/>
      <c r="AW2" s="611"/>
      <c r="AX2" s="611"/>
      <c r="AY2" s="611"/>
      <c r="AZ2" s="611"/>
      <c r="BA2" s="580"/>
      <c r="BB2" s="190"/>
      <c r="BC2" s="191"/>
      <c r="BD2" s="191"/>
      <c r="BE2" s="191"/>
      <c r="BF2" s="191"/>
      <c r="BG2" s="192"/>
      <c r="BH2" s="508" t="s">
        <v>610</v>
      </c>
      <c r="BI2" s="509"/>
      <c r="BJ2" s="509"/>
      <c r="BK2" s="181"/>
      <c r="BL2" s="181"/>
      <c r="BM2" s="181"/>
      <c r="BN2" s="181"/>
      <c r="BO2" s="181"/>
      <c r="BP2" s="181"/>
      <c r="BQ2" s="181"/>
      <c r="BR2" s="181"/>
      <c r="BS2" s="181"/>
      <c r="BT2" s="181"/>
      <c r="BU2" s="181"/>
      <c r="BV2" s="181"/>
      <c r="BW2" s="181"/>
      <c r="BX2" s="181"/>
      <c r="BY2" s="181"/>
      <c r="BZ2" s="181"/>
      <c r="CA2" s="181"/>
      <c r="CB2" s="181"/>
      <c r="CC2" s="181"/>
      <c r="CD2" s="181"/>
      <c r="CE2" s="181"/>
      <c r="CF2" s="181"/>
    </row>
    <row r="3" spans="27:84" ht="24.75" customHeight="1" thickBot="1" thickTop="1">
      <c r="AA3" s="182">
        <v>33</v>
      </c>
      <c r="AB3" s="182">
        <f>VLOOKUP(AA3,AA6:AB86,2,0)</f>
        <v>32340</v>
      </c>
      <c r="AI3" s="189"/>
      <c r="AJ3" s="612" t="s">
        <v>449</v>
      </c>
      <c r="AK3" s="613"/>
      <c r="AL3" s="613"/>
      <c r="AM3" s="613"/>
      <c r="AN3" s="614" t="s">
        <v>554</v>
      </c>
      <c r="AO3" s="614"/>
      <c r="AP3" s="614"/>
      <c r="AQ3" s="614"/>
      <c r="AR3" s="614"/>
      <c r="AS3" s="614"/>
      <c r="AT3" s="614"/>
      <c r="AU3" s="614"/>
      <c r="AV3" s="613" t="s">
        <v>34</v>
      </c>
      <c r="AW3" s="613"/>
      <c r="AX3" s="581" t="s">
        <v>530</v>
      </c>
      <c r="AY3" s="581"/>
      <c r="AZ3" s="582"/>
      <c r="BA3" s="564"/>
      <c r="BB3" s="190"/>
      <c r="BC3" s="191"/>
      <c r="BD3" s="191"/>
      <c r="BE3" s="191"/>
      <c r="BF3" s="191"/>
      <c r="BG3" s="192"/>
      <c r="BH3" s="508"/>
      <c r="BI3" s="509"/>
      <c r="BJ3" s="509"/>
      <c r="BK3" s="181"/>
      <c r="BL3" s="181"/>
      <c r="BM3" s="181"/>
      <c r="BN3" s="181"/>
      <c r="BO3" s="181"/>
      <c r="BP3" s="181"/>
      <c r="BQ3" s="181"/>
      <c r="BR3" s="181"/>
      <c r="BS3" s="181"/>
      <c r="BT3" s="181"/>
      <c r="BU3" s="181"/>
      <c r="BV3" s="181"/>
      <c r="BW3" s="181"/>
      <c r="BX3" s="181"/>
      <c r="BY3" s="181"/>
      <c r="BZ3" s="181"/>
      <c r="CA3" s="181"/>
      <c r="CB3" s="181"/>
      <c r="CC3" s="181"/>
      <c r="CD3" s="181"/>
      <c r="CE3" s="181"/>
      <c r="CF3" s="181"/>
    </row>
    <row r="4" spans="28:84" ht="24.75" customHeight="1" thickBot="1">
      <c r="AB4" s="48" t="s">
        <v>6</v>
      </c>
      <c r="AC4" s="193"/>
      <c r="AD4" s="194"/>
      <c r="AE4" s="194"/>
      <c r="AF4" s="194"/>
      <c r="AG4" s="194"/>
      <c r="AH4" s="194"/>
      <c r="AI4" s="532"/>
      <c r="AJ4" s="556" t="s">
        <v>450</v>
      </c>
      <c r="AK4" s="557"/>
      <c r="AL4" s="557"/>
      <c r="AM4" s="601" t="s">
        <v>551</v>
      </c>
      <c r="AN4" s="601"/>
      <c r="AO4" s="601"/>
      <c r="AP4" s="601"/>
      <c r="AQ4" s="601"/>
      <c r="AR4" s="557" t="s">
        <v>35</v>
      </c>
      <c r="AS4" s="557"/>
      <c r="AT4" s="590" t="s">
        <v>552</v>
      </c>
      <c r="AU4" s="590"/>
      <c r="AV4" s="590"/>
      <c r="AW4" s="592" t="s">
        <v>126</v>
      </c>
      <c r="AX4" s="592"/>
      <c r="AY4" s="590"/>
      <c r="AZ4" s="591"/>
      <c r="BA4" s="564"/>
      <c r="BB4" s="190"/>
      <c r="BC4" s="191"/>
      <c r="BD4" s="191"/>
      <c r="BE4" s="191"/>
      <c r="BF4" s="191"/>
      <c r="BG4" s="192"/>
      <c r="BH4" s="508"/>
      <c r="BI4" s="509"/>
      <c r="BJ4" s="509"/>
      <c r="BK4" s="181"/>
      <c r="BL4" s="181"/>
      <c r="BM4" s="181"/>
      <c r="BN4" s="181"/>
      <c r="BO4" s="181"/>
      <c r="BP4" s="181"/>
      <c r="BQ4" s="181"/>
      <c r="BR4" s="181"/>
      <c r="BS4" s="181"/>
      <c r="BT4" s="181"/>
      <c r="BU4" s="181"/>
      <c r="BV4" s="181"/>
      <c r="BW4" s="181"/>
      <c r="BX4" s="181"/>
      <c r="BY4" s="181"/>
      <c r="BZ4" s="181"/>
      <c r="CA4" s="181"/>
      <c r="CB4" s="181"/>
      <c r="CC4" s="181"/>
      <c r="CD4" s="181"/>
      <c r="CE4" s="181"/>
      <c r="CF4" s="181"/>
    </row>
    <row r="5" spans="23:84" ht="24.75" customHeight="1" thickTop="1">
      <c r="W5" s="48" t="s">
        <v>520</v>
      </c>
      <c r="AC5" s="194"/>
      <c r="AD5" s="194"/>
      <c r="AE5" s="194"/>
      <c r="AF5" s="194"/>
      <c r="AG5" s="194" t="s">
        <v>532</v>
      </c>
      <c r="AH5" s="194" t="s">
        <v>533</v>
      </c>
      <c r="AI5" s="533"/>
      <c r="AJ5" s="512" t="s">
        <v>600</v>
      </c>
      <c r="AK5" s="513"/>
      <c r="AL5" s="513"/>
      <c r="AM5" s="513"/>
      <c r="AN5" s="513"/>
      <c r="AO5" s="514"/>
      <c r="AP5" s="558">
        <v>270</v>
      </c>
      <c r="AQ5" s="559"/>
      <c r="AR5" s="367" t="s">
        <v>454</v>
      </c>
      <c r="AS5" s="367"/>
      <c r="AT5" s="584" t="s">
        <v>459</v>
      </c>
      <c r="AU5" s="585"/>
      <c r="AV5" s="585"/>
      <c r="AW5" s="586"/>
      <c r="AX5" s="615">
        <v>1105013</v>
      </c>
      <c r="AY5" s="616"/>
      <c r="AZ5" s="617"/>
      <c r="BA5" s="564"/>
      <c r="BB5" s="370" t="s">
        <v>460</v>
      </c>
      <c r="BC5" s="191"/>
      <c r="BD5" s="191"/>
      <c r="BE5" s="191"/>
      <c r="BF5" s="191"/>
      <c r="BG5" s="192"/>
      <c r="BH5" s="508"/>
      <c r="BI5" s="509"/>
      <c r="BJ5" s="509"/>
      <c r="BK5" s="181"/>
      <c r="BL5" s="181"/>
      <c r="BM5" s="181"/>
      <c r="BN5" s="181"/>
      <c r="BO5" s="181"/>
      <c r="BP5" s="181"/>
      <c r="BQ5" s="181"/>
      <c r="BR5" s="181"/>
      <c r="BS5" s="181"/>
      <c r="BT5" s="181"/>
      <c r="BU5" s="181"/>
      <c r="BV5" s="181"/>
      <c r="BW5" s="181"/>
      <c r="BX5" s="181"/>
      <c r="BY5" s="181"/>
      <c r="BZ5" s="181"/>
      <c r="CA5" s="181"/>
      <c r="CB5" s="181"/>
      <c r="CC5" s="181"/>
      <c r="CD5" s="181"/>
      <c r="CE5" s="181"/>
      <c r="CF5" s="181"/>
    </row>
    <row r="6" spans="22:84" s="195" customFormat="1" ht="24.75" customHeight="1">
      <c r="V6" s="411">
        <v>1</v>
      </c>
      <c r="W6" s="411" t="str">
        <f>VLOOKUP(V6,V7:W8,2,0)</f>
        <v>NO</v>
      </c>
      <c r="AA6" s="195">
        <v>1</v>
      </c>
      <c r="AB6">
        <v>13000</v>
      </c>
      <c r="AC6">
        <v>13390</v>
      </c>
      <c r="AD6">
        <v>13740</v>
      </c>
      <c r="AE6" s="419">
        <v>14170</v>
      </c>
      <c r="AG6" s="419">
        <v>14170</v>
      </c>
      <c r="AH6" s="419">
        <v>14170</v>
      </c>
      <c r="AI6" s="533"/>
      <c r="AJ6" s="556" t="s">
        <v>609</v>
      </c>
      <c r="AK6" s="557"/>
      <c r="AL6" s="557"/>
      <c r="AM6" s="325"/>
      <c r="AN6" s="326" t="s">
        <v>22</v>
      </c>
      <c r="AO6" s="327">
        <v>0</v>
      </c>
      <c r="AP6" s="326" t="s">
        <v>37</v>
      </c>
      <c r="AQ6" s="327">
        <v>0</v>
      </c>
      <c r="AR6" s="328" t="s">
        <v>24</v>
      </c>
      <c r="AS6" s="327">
        <v>0</v>
      </c>
      <c r="AT6" s="328" t="s">
        <v>39</v>
      </c>
      <c r="AU6" s="327">
        <v>0</v>
      </c>
      <c r="AV6" s="328" t="s">
        <v>26</v>
      </c>
      <c r="AW6" s="325"/>
      <c r="AX6" s="329" t="s">
        <v>25</v>
      </c>
      <c r="AY6" s="593">
        <v>0</v>
      </c>
      <c r="AZ6" s="618"/>
      <c r="BA6" s="564"/>
      <c r="BB6" s="562" t="str">
        <f>CONCATENATE("Your Tot Savings(80C) = Rs ",'Income Tax Form'!K33,"/-",CHAR(10),"Suggested  Rent = Rs ",N134,"/-",CHAR(10),"Tax to be paid now = Rs ",'Income Tax Form'!L63,"/-")</f>
        <v>Your Tot Savings(80C) = Rs 167320/-
Suggested  Rent = Rs 7900/-
Tax to be paid now = Rs 1435/-</v>
      </c>
      <c r="BC6" s="563"/>
      <c r="BD6" s="563"/>
      <c r="BE6" s="563"/>
      <c r="BF6" s="563"/>
      <c r="BG6" s="563"/>
      <c r="BH6" s="602" t="s">
        <v>664</v>
      </c>
      <c r="BI6" s="603"/>
      <c r="BJ6" s="604"/>
      <c r="BK6" s="196"/>
      <c r="BL6" s="196"/>
      <c r="BM6" s="196"/>
      <c r="BN6" s="196"/>
      <c r="BO6" s="196"/>
      <c r="BP6" s="196"/>
      <c r="BQ6" s="196"/>
      <c r="BR6" s="196"/>
      <c r="BS6" s="196"/>
      <c r="BT6" s="196"/>
      <c r="BU6" s="196"/>
      <c r="BV6" s="196"/>
      <c r="BW6" s="196"/>
      <c r="BX6" s="196"/>
      <c r="BY6" s="196"/>
      <c r="BZ6" s="196"/>
      <c r="CA6" s="196"/>
      <c r="CB6" s="196"/>
      <c r="CC6" s="196"/>
      <c r="CD6" s="196"/>
      <c r="CE6" s="196"/>
      <c r="CF6" s="196"/>
    </row>
    <row r="7" spans="2:84" ht="24.75" customHeight="1">
      <c r="B7" s="48" t="s">
        <v>12</v>
      </c>
      <c r="V7" s="48">
        <v>1</v>
      </c>
      <c r="W7" s="48" t="s">
        <v>41</v>
      </c>
      <c r="AA7" s="48">
        <v>2</v>
      </c>
      <c r="AB7">
        <v>13390</v>
      </c>
      <c r="AC7">
        <v>13740</v>
      </c>
      <c r="AD7" s="419">
        <v>14170</v>
      </c>
      <c r="AE7" s="419">
        <v>14600</v>
      </c>
      <c r="AF7">
        <v>13000</v>
      </c>
      <c r="AG7" s="419">
        <v>14600</v>
      </c>
      <c r="AH7" s="419">
        <v>14600</v>
      </c>
      <c r="AI7" s="533"/>
      <c r="AJ7" s="556" t="s">
        <v>482</v>
      </c>
      <c r="AK7" s="557"/>
      <c r="AL7" s="557"/>
      <c r="AM7" s="330"/>
      <c r="AN7" s="330"/>
      <c r="AO7" s="599" t="s">
        <v>38</v>
      </c>
      <c r="AP7" s="599"/>
      <c r="AQ7" s="599"/>
      <c r="AR7" s="599"/>
      <c r="AS7" s="331"/>
      <c r="AT7" s="331"/>
      <c r="AU7" s="331"/>
      <c r="AV7" s="331"/>
      <c r="AW7" s="331"/>
      <c r="AX7" s="577" t="s">
        <v>521</v>
      </c>
      <c r="AY7" s="578"/>
      <c r="AZ7" s="579"/>
      <c r="BA7" s="573" t="s">
        <v>253</v>
      </c>
      <c r="BB7" s="562"/>
      <c r="BC7" s="563"/>
      <c r="BD7" s="563"/>
      <c r="BE7" s="563"/>
      <c r="BF7" s="563"/>
      <c r="BG7" s="563"/>
      <c r="BH7" s="605"/>
      <c r="BI7" s="606"/>
      <c r="BJ7" s="607"/>
      <c r="BK7" s="181"/>
      <c r="BL7" s="181"/>
      <c r="BM7" s="181"/>
      <c r="BN7" s="181"/>
      <c r="BO7" s="181"/>
      <c r="BP7" s="181"/>
      <c r="BQ7" s="181"/>
      <c r="BR7" s="181"/>
      <c r="BS7" s="181"/>
      <c r="BT7" s="181"/>
      <c r="BU7" s="181"/>
      <c r="BV7" s="181"/>
      <c r="BW7" s="181"/>
      <c r="BX7" s="181"/>
      <c r="BY7" s="181"/>
      <c r="BZ7" s="181"/>
      <c r="CA7" s="181"/>
      <c r="CB7" s="181"/>
      <c r="CC7" s="181"/>
      <c r="CD7" s="181"/>
      <c r="CE7" s="181"/>
      <c r="CF7" s="181"/>
    </row>
    <row r="8" spans="2:84" ht="24.75" customHeight="1">
      <c r="B8" s="48" t="s">
        <v>5</v>
      </c>
      <c r="V8" s="48">
        <v>2</v>
      </c>
      <c r="W8" s="48" t="s">
        <v>40</v>
      </c>
      <c r="AA8" s="48">
        <v>3</v>
      </c>
      <c r="AB8">
        <v>13740</v>
      </c>
      <c r="AC8" s="419">
        <v>14170</v>
      </c>
      <c r="AD8" s="419">
        <v>14600</v>
      </c>
      <c r="AE8" s="419">
        <v>15030</v>
      </c>
      <c r="AF8">
        <v>13390</v>
      </c>
      <c r="AG8" s="419">
        <v>15030</v>
      </c>
      <c r="AH8" s="419">
        <v>15030</v>
      </c>
      <c r="AI8" s="533"/>
      <c r="AJ8" s="556" t="s">
        <v>483</v>
      </c>
      <c r="AK8" s="557"/>
      <c r="AL8" s="557"/>
      <c r="AM8" s="332"/>
      <c r="AN8" s="557" t="s">
        <v>64</v>
      </c>
      <c r="AO8" s="557"/>
      <c r="AP8" s="557"/>
      <c r="AQ8" s="557"/>
      <c r="AR8" s="332"/>
      <c r="AS8" s="332"/>
      <c r="AT8" s="557" t="s">
        <v>65</v>
      </c>
      <c r="AU8" s="557"/>
      <c r="AV8" s="332"/>
      <c r="AW8" s="600" t="s">
        <v>84</v>
      </c>
      <c r="AX8" s="600"/>
      <c r="AY8" s="522"/>
      <c r="AZ8" s="569"/>
      <c r="BA8" s="573"/>
      <c r="BB8" s="562"/>
      <c r="BC8" s="563"/>
      <c r="BD8" s="563"/>
      <c r="BE8" s="563"/>
      <c r="BF8" s="563"/>
      <c r="BG8" s="563"/>
      <c r="BH8" s="605"/>
      <c r="BI8" s="606"/>
      <c r="BJ8" s="607"/>
      <c r="BK8" s="181"/>
      <c r="BL8" s="181"/>
      <c r="BM8" s="181"/>
      <c r="BN8" s="181"/>
      <c r="BO8" s="181"/>
      <c r="BP8" s="181"/>
      <c r="BQ8" s="181"/>
      <c r="BR8" s="181"/>
      <c r="BS8" s="181"/>
      <c r="BT8" s="181"/>
      <c r="BU8" s="181"/>
      <c r="BV8" s="181"/>
      <c r="BW8" s="181"/>
      <c r="BX8" s="181"/>
      <c r="BY8" s="181"/>
      <c r="BZ8" s="181"/>
      <c r="CA8" s="181"/>
      <c r="CB8" s="181"/>
      <c r="CC8" s="181"/>
      <c r="CD8" s="181"/>
      <c r="CE8" s="181"/>
      <c r="CF8" s="181"/>
    </row>
    <row r="9" spans="2:84" ht="22.5" customHeight="1">
      <c r="B9" s="48" t="s">
        <v>0</v>
      </c>
      <c r="AA9" s="48">
        <v>4</v>
      </c>
      <c r="AB9" s="419">
        <v>14170</v>
      </c>
      <c r="AC9" s="419">
        <v>14600</v>
      </c>
      <c r="AD9" s="419">
        <v>15030</v>
      </c>
      <c r="AE9" s="419">
        <v>15460</v>
      </c>
      <c r="AF9">
        <v>13740</v>
      </c>
      <c r="AG9" s="419">
        <v>15460</v>
      </c>
      <c r="AH9" s="419">
        <v>15460</v>
      </c>
      <c r="AI9" s="533"/>
      <c r="AJ9" s="556" t="s">
        <v>484</v>
      </c>
      <c r="AK9" s="557"/>
      <c r="AL9" s="557"/>
      <c r="AM9" s="557" t="s">
        <v>66</v>
      </c>
      <c r="AN9" s="557"/>
      <c r="AO9" s="557"/>
      <c r="AP9" s="421">
        <v>12000</v>
      </c>
      <c r="AQ9" s="557" t="s">
        <v>67</v>
      </c>
      <c r="AR9" s="557"/>
      <c r="AS9" s="557"/>
      <c r="AT9" s="332"/>
      <c r="AU9" s="333"/>
      <c r="AV9" s="583" t="s">
        <v>74</v>
      </c>
      <c r="AW9" s="583"/>
      <c r="AX9" s="593">
        <v>0</v>
      </c>
      <c r="AY9" s="593"/>
      <c r="AZ9" s="412"/>
      <c r="BA9" s="573"/>
      <c r="BB9" s="407" t="s">
        <v>515</v>
      </c>
      <c r="BC9" s="408"/>
      <c r="BD9" s="408"/>
      <c r="BE9" s="408"/>
      <c r="BF9" s="587">
        <f>N144</f>
        <v>7900</v>
      </c>
      <c r="BG9" s="587"/>
      <c r="BH9" s="605"/>
      <c r="BI9" s="606"/>
      <c r="BJ9" s="607"/>
      <c r="BK9" s="181"/>
      <c r="BL9" s="181"/>
      <c r="BM9" s="181"/>
      <c r="BN9" s="181"/>
      <c r="BO9" s="181"/>
      <c r="BP9" s="181"/>
      <c r="BQ9" s="181"/>
      <c r="BR9" s="181"/>
      <c r="BS9" s="181"/>
      <c r="BT9" s="181"/>
      <c r="BU9" s="181"/>
      <c r="BV9" s="181"/>
      <c r="BW9" s="181"/>
      <c r="BX9" s="181"/>
      <c r="BY9" s="181"/>
      <c r="BZ9" s="181"/>
      <c r="CA9" s="181"/>
      <c r="CB9" s="181"/>
      <c r="CC9" s="181"/>
      <c r="CD9" s="181"/>
      <c r="CE9" s="181"/>
      <c r="CF9" s="181"/>
    </row>
    <row r="10" spans="2:84" ht="22.5" customHeight="1">
      <c r="B10" s="48" t="s">
        <v>1</v>
      </c>
      <c r="AA10" s="48">
        <v>5</v>
      </c>
      <c r="AB10" s="419">
        <v>14600</v>
      </c>
      <c r="AC10" s="419">
        <v>15030</v>
      </c>
      <c r="AD10" s="419">
        <v>15460</v>
      </c>
      <c r="AE10" s="419">
        <v>15930</v>
      </c>
      <c r="AF10" s="419">
        <v>14170</v>
      </c>
      <c r="AG10" s="419">
        <v>15930</v>
      </c>
      <c r="AH10" s="419">
        <v>15930</v>
      </c>
      <c r="AI10" s="533"/>
      <c r="AJ10" s="541" t="s">
        <v>485</v>
      </c>
      <c r="AK10" s="542"/>
      <c r="AL10" s="542"/>
      <c r="AM10" s="334">
        <v>450</v>
      </c>
      <c r="AN10" s="557" t="s">
        <v>46</v>
      </c>
      <c r="AO10" s="557"/>
      <c r="AP10" s="557"/>
      <c r="AQ10" s="557"/>
      <c r="AR10" s="557"/>
      <c r="AS10" s="332"/>
      <c r="AT10" s="332"/>
      <c r="AU10" s="531" t="s">
        <v>526</v>
      </c>
      <c r="AV10" s="531"/>
      <c r="AW10" s="531"/>
      <c r="AX10" s="531"/>
      <c r="AY10" s="334">
        <v>0</v>
      </c>
      <c r="AZ10" s="381"/>
      <c r="BA10" s="573"/>
      <c r="BB10" s="409" t="s">
        <v>513</v>
      </c>
      <c r="BC10" s="408"/>
      <c r="BD10" s="408"/>
      <c r="BE10" s="408"/>
      <c r="BF10" s="588"/>
      <c r="BG10" s="589"/>
      <c r="BH10" s="605"/>
      <c r="BI10" s="606"/>
      <c r="BJ10" s="607"/>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row>
    <row r="11" spans="27:84" ht="22.5" customHeight="1">
      <c r="AA11" s="182">
        <v>6</v>
      </c>
      <c r="AB11" s="419">
        <v>15030</v>
      </c>
      <c r="AC11" s="419">
        <v>15460</v>
      </c>
      <c r="AD11" s="419">
        <v>15930</v>
      </c>
      <c r="AE11" s="419">
        <v>16400</v>
      </c>
      <c r="AF11" s="419">
        <v>14600</v>
      </c>
      <c r="AG11" s="419">
        <v>16400</v>
      </c>
      <c r="AH11" s="419">
        <v>16400</v>
      </c>
      <c r="AI11" s="532" t="s">
        <v>519</v>
      </c>
      <c r="AJ11" s="561" t="s">
        <v>524</v>
      </c>
      <c r="AK11" s="531"/>
      <c r="AL11" s="531"/>
      <c r="AM11" s="335">
        <v>30</v>
      </c>
      <c r="AN11" s="557" t="s">
        <v>46</v>
      </c>
      <c r="AO11" s="557"/>
      <c r="AP11" s="557"/>
      <c r="AQ11" s="557"/>
      <c r="AR11" s="557"/>
      <c r="AS11" s="332"/>
      <c r="AT11" s="332"/>
      <c r="AU11" s="531" t="s">
        <v>527</v>
      </c>
      <c r="AV11" s="531"/>
      <c r="AW11" s="531"/>
      <c r="AX11" s="531"/>
      <c r="AY11" s="336">
        <v>60</v>
      </c>
      <c r="AZ11" s="292"/>
      <c r="BA11" s="573"/>
      <c r="BB11" s="570" t="s">
        <v>516</v>
      </c>
      <c r="BC11" s="571"/>
      <c r="BD11" s="571"/>
      <c r="BE11" s="571"/>
      <c r="BF11" s="571"/>
      <c r="BG11" s="571"/>
      <c r="BH11" s="605"/>
      <c r="BI11" s="606"/>
      <c r="BJ11" s="607"/>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row>
    <row r="12" spans="2:84" ht="22.5" customHeight="1">
      <c r="B12" s="48" t="s">
        <v>2</v>
      </c>
      <c r="AA12" s="48">
        <v>7</v>
      </c>
      <c r="AB12" s="419">
        <v>15460</v>
      </c>
      <c r="AC12" s="419">
        <v>15930</v>
      </c>
      <c r="AD12" s="419">
        <v>16400</v>
      </c>
      <c r="AE12" s="419">
        <v>16870</v>
      </c>
      <c r="AF12" s="419">
        <v>15030</v>
      </c>
      <c r="AG12" s="419">
        <v>16870</v>
      </c>
      <c r="AH12" s="419">
        <v>16870</v>
      </c>
      <c r="AI12" s="533"/>
      <c r="AJ12" s="413" t="s">
        <v>522</v>
      </c>
      <c r="AK12" s="515"/>
      <c r="AL12" s="516"/>
      <c r="AM12" s="414" t="s">
        <v>523</v>
      </c>
      <c r="AN12" s="517">
        <v>0</v>
      </c>
      <c r="AO12" s="518"/>
      <c r="AP12" s="328" t="s">
        <v>130</v>
      </c>
      <c r="AQ12" s="327">
        <v>20</v>
      </c>
      <c r="AR12" s="328" t="s">
        <v>131</v>
      </c>
      <c r="AS12" s="327">
        <v>50</v>
      </c>
      <c r="AT12" s="328" t="s">
        <v>141</v>
      </c>
      <c r="AU12" s="522"/>
      <c r="AV12" s="522"/>
      <c r="AW12" s="522"/>
      <c r="AX12" s="574" t="s">
        <v>267</v>
      </c>
      <c r="AY12" s="574"/>
      <c r="AZ12" s="337">
        <v>0</v>
      </c>
      <c r="BA12" s="573"/>
      <c r="BB12" s="575" t="s">
        <v>480</v>
      </c>
      <c r="BC12" s="576"/>
      <c r="BD12" s="576"/>
      <c r="BE12" s="576"/>
      <c r="BF12" s="576"/>
      <c r="BG12" s="576"/>
      <c r="BH12" s="605"/>
      <c r="BI12" s="606"/>
      <c r="BJ12" s="607"/>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row>
    <row r="13" spans="27:84" ht="22.5" customHeight="1">
      <c r="AA13" s="182">
        <v>8</v>
      </c>
      <c r="AB13" s="419">
        <v>15930</v>
      </c>
      <c r="AC13" s="419">
        <v>16400</v>
      </c>
      <c r="AD13" s="419">
        <v>16870</v>
      </c>
      <c r="AE13" s="419">
        <v>17380</v>
      </c>
      <c r="AF13" s="419">
        <v>15460</v>
      </c>
      <c r="AG13" s="419">
        <v>17380</v>
      </c>
      <c r="AH13" s="419">
        <v>17380</v>
      </c>
      <c r="AI13" s="533"/>
      <c r="AJ13" s="594" t="s">
        <v>265</v>
      </c>
      <c r="AK13" s="595"/>
      <c r="AL13" s="595"/>
      <c r="AM13" s="595"/>
      <c r="AN13" s="595"/>
      <c r="AO13" s="393">
        <v>0</v>
      </c>
      <c r="AP13" s="560" t="s">
        <v>311</v>
      </c>
      <c r="AQ13" s="560"/>
      <c r="AR13" s="560"/>
      <c r="AS13" s="560"/>
      <c r="AT13" s="560"/>
      <c r="AU13" s="553">
        <v>0</v>
      </c>
      <c r="AV13" s="522"/>
      <c r="AW13" s="522"/>
      <c r="AX13" s="554" t="s">
        <v>85</v>
      </c>
      <c r="AY13" s="554"/>
      <c r="AZ13" s="555"/>
      <c r="BA13" s="197"/>
      <c r="BB13" s="394" t="s">
        <v>481</v>
      </c>
      <c r="BC13" s="224"/>
      <c r="BD13" s="224"/>
      <c r="BE13" s="224"/>
      <c r="BF13" s="224"/>
      <c r="BG13" s="224"/>
      <c r="BH13" s="605"/>
      <c r="BI13" s="606"/>
      <c r="BJ13" s="607"/>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row>
    <row r="14" spans="27:84" ht="21" customHeight="1">
      <c r="AA14" s="48">
        <v>9</v>
      </c>
      <c r="AB14" s="419">
        <v>16400</v>
      </c>
      <c r="AC14" s="419">
        <v>16870</v>
      </c>
      <c r="AD14" s="419">
        <v>17380</v>
      </c>
      <c r="AE14" s="419">
        <v>17890</v>
      </c>
      <c r="AF14" s="419">
        <v>15930</v>
      </c>
      <c r="AG14" s="419">
        <v>17890</v>
      </c>
      <c r="AH14" s="419">
        <v>17890</v>
      </c>
      <c r="AI14" s="533"/>
      <c r="AJ14" s="338"/>
      <c r="AK14" s="331"/>
      <c r="AL14" s="331"/>
      <c r="AM14" s="331"/>
      <c r="AN14" s="331"/>
      <c r="AO14" s="416">
        <v>0</v>
      </c>
      <c r="AP14" s="339" t="s">
        <v>257</v>
      </c>
      <c r="AQ14" s="339"/>
      <c r="AR14" s="340"/>
      <c r="AS14" s="340"/>
      <c r="AT14" s="341"/>
      <c r="AU14" s="543">
        <v>0</v>
      </c>
      <c r="AV14" s="543"/>
      <c r="AW14" s="543"/>
      <c r="AX14" s="521" t="s">
        <v>601</v>
      </c>
      <c r="AY14" s="521"/>
      <c r="AZ14" s="342">
        <v>0</v>
      </c>
      <c r="BA14" s="198"/>
      <c r="BB14" s="199"/>
      <c r="BC14" s="191"/>
      <c r="BD14" s="191"/>
      <c r="BE14" s="191"/>
      <c r="BF14" s="191"/>
      <c r="BG14" s="191"/>
      <c r="BH14" s="608"/>
      <c r="BI14" s="609"/>
      <c r="BJ14" s="610"/>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row>
    <row r="15" spans="27:84" ht="25.5" customHeight="1">
      <c r="AA15" s="182">
        <v>10</v>
      </c>
      <c r="AB15" s="419">
        <v>16870</v>
      </c>
      <c r="AC15" s="419">
        <v>17380</v>
      </c>
      <c r="AD15" s="419">
        <v>17890</v>
      </c>
      <c r="AE15" s="419">
        <v>18400</v>
      </c>
      <c r="AF15" s="419">
        <v>16400</v>
      </c>
      <c r="AG15" s="419">
        <v>18400</v>
      </c>
      <c r="AH15" s="419">
        <v>18400</v>
      </c>
      <c r="AI15" s="533"/>
      <c r="AJ15" s="338"/>
      <c r="AK15" s="331"/>
      <c r="AL15" s="331"/>
      <c r="AM15" s="331"/>
      <c r="AN15" s="331"/>
      <c r="AO15" s="417">
        <v>0</v>
      </c>
      <c r="AP15" s="343" t="s">
        <v>256</v>
      </c>
      <c r="AQ15" s="344"/>
      <c r="AR15" s="340"/>
      <c r="AS15" s="340"/>
      <c r="AT15" s="341"/>
      <c r="AU15" s="543">
        <v>0</v>
      </c>
      <c r="AV15" s="543"/>
      <c r="AW15" s="543"/>
      <c r="AX15" s="521" t="s">
        <v>602</v>
      </c>
      <c r="AY15" s="521"/>
      <c r="AZ15" s="342">
        <v>0</v>
      </c>
      <c r="BA15" s="572"/>
      <c r="BB15" s="190"/>
      <c r="BC15" s="200"/>
      <c r="BD15" s="191"/>
      <c r="BE15" s="191"/>
      <c r="BF15" s="191"/>
      <c r="BG15" s="192"/>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row>
    <row r="16" spans="27:84" ht="25.5" customHeight="1">
      <c r="AA16" s="48">
        <v>11</v>
      </c>
      <c r="AB16" s="419">
        <v>17380</v>
      </c>
      <c r="AC16" s="419">
        <v>17890</v>
      </c>
      <c r="AD16" s="419">
        <v>18400</v>
      </c>
      <c r="AE16" s="419">
        <v>18950</v>
      </c>
      <c r="AF16" s="419">
        <v>16870</v>
      </c>
      <c r="AG16" s="419">
        <v>18950</v>
      </c>
      <c r="AH16" s="419">
        <v>18950</v>
      </c>
      <c r="AI16" s="533"/>
      <c r="AJ16" s="338"/>
      <c r="AK16" s="331"/>
      <c r="AL16" s="331"/>
      <c r="AM16" s="331"/>
      <c r="AN16" s="331"/>
      <c r="AO16" s="417">
        <v>0</v>
      </c>
      <c r="AP16" s="343" t="s">
        <v>258</v>
      </c>
      <c r="AQ16" s="344"/>
      <c r="AR16" s="340"/>
      <c r="AS16" s="340"/>
      <c r="AT16" s="341"/>
      <c r="AU16" s="543">
        <v>0</v>
      </c>
      <c r="AV16" s="543"/>
      <c r="AW16" s="543"/>
      <c r="AX16" s="521" t="s">
        <v>603</v>
      </c>
      <c r="AY16" s="521"/>
      <c r="AZ16" s="342">
        <v>0</v>
      </c>
      <c r="BA16" s="573"/>
      <c r="BB16" s="190"/>
      <c r="BC16" s="191"/>
      <c r="BD16" s="191"/>
      <c r="BE16" s="191"/>
      <c r="BF16" s="191"/>
      <c r="BG16" s="192"/>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row>
    <row r="17" spans="27:84" ht="25.5" customHeight="1">
      <c r="AA17" s="182">
        <v>12</v>
      </c>
      <c r="AB17" s="419">
        <v>17890</v>
      </c>
      <c r="AC17" s="419">
        <v>18400</v>
      </c>
      <c r="AD17" s="419">
        <v>18950</v>
      </c>
      <c r="AE17" s="419">
        <v>19500</v>
      </c>
      <c r="AF17" s="419">
        <v>17380</v>
      </c>
      <c r="AG17" s="419">
        <v>19500</v>
      </c>
      <c r="AH17" s="419">
        <v>19500</v>
      </c>
      <c r="AI17" s="533"/>
      <c r="AJ17" s="338"/>
      <c r="AK17" s="331"/>
      <c r="AL17" s="331"/>
      <c r="AM17" s="331"/>
      <c r="AN17" s="331"/>
      <c r="AO17" s="417">
        <v>0</v>
      </c>
      <c r="AP17" s="339" t="s">
        <v>259</v>
      </c>
      <c r="AQ17" s="344"/>
      <c r="AR17" s="340"/>
      <c r="AS17" s="340"/>
      <c r="AT17" s="341"/>
      <c r="AU17" s="543">
        <v>0</v>
      </c>
      <c r="AV17" s="543"/>
      <c r="AW17" s="543"/>
      <c r="AX17" s="521" t="s">
        <v>604</v>
      </c>
      <c r="AY17" s="521"/>
      <c r="AZ17" s="342">
        <v>0</v>
      </c>
      <c r="BA17" s="573"/>
      <c r="BB17" s="190"/>
      <c r="BC17" s="191"/>
      <c r="BD17" s="191"/>
      <c r="BE17" s="191"/>
      <c r="BF17" s="191"/>
      <c r="BG17" s="192"/>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row>
    <row r="18" spans="27:84" ht="25.5" customHeight="1">
      <c r="AA18" s="48">
        <v>13</v>
      </c>
      <c r="AB18" s="419">
        <v>18400</v>
      </c>
      <c r="AC18" s="419">
        <v>18950</v>
      </c>
      <c r="AD18" s="419">
        <v>19500</v>
      </c>
      <c r="AE18" s="419">
        <v>20050</v>
      </c>
      <c r="AF18" s="419">
        <v>17890</v>
      </c>
      <c r="AG18" s="419">
        <v>20050</v>
      </c>
      <c r="AH18" s="419">
        <v>20050</v>
      </c>
      <c r="AI18" s="533"/>
      <c r="AJ18" s="338"/>
      <c r="AK18" s="331"/>
      <c r="AL18" s="331"/>
      <c r="AM18" s="331"/>
      <c r="AN18" s="331"/>
      <c r="AO18" s="417">
        <v>0</v>
      </c>
      <c r="AP18" s="596" t="s">
        <v>525</v>
      </c>
      <c r="AQ18" s="597"/>
      <c r="AR18" s="597"/>
      <c r="AS18" s="597"/>
      <c r="AT18" s="598"/>
      <c r="AU18" s="543">
        <v>0</v>
      </c>
      <c r="AV18" s="543"/>
      <c r="AW18" s="543"/>
      <c r="AX18" s="521" t="s">
        <v>605</v>
      </c>
      <c r="AY18" s="521"/>
      <c r="AZ18" s="342">
        <v>0</v>
      </c>
      <c r="BA18" s="573"/>
      <c r="BB18" s="566"/>
      <c r="BC18" s="567"/>
      <c r="BD18" s="567"/>
      <c r="BE18" s="567"/>
      <c r="BF18" s="567"/>
      <c r="BG18" s="568"/>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row>
    <row r="19" spans="27:84" ht="25.5" customHeight="1">
      <c r="AA19" s="182">
        <v>14</v>
      </c>
      <c r="AB19" s="419">
        <v>18950</v>
      </c>
      <c r="AC19" s="419">
        <v>19500</v>
      </c>
      <c r="AD19" s="419">
        <v>20050</v>
      </c>
      <c r="AE19" s="419">
        <v>20640</v>
      </c>
      <c r="AF19" s="419">
        <v>18400</v>
      </c>
      <c r="AG19" s="419">
        <v>20640</v>
      </c>
      <c r="AH19" s="419">
        <v>20640</v>
      </c>
      <c r="AI19" s="533"/>
      <c r="AJ19" s="338"/>
      <c r="AK19" s="331"/>
      <c r="AL19" s="331"/>
      <c r="AM19" s="331"/>
      <c r="AN19" s="331"/>
      <c r="AO19" s="417">
        <v>0</v>
      </c>
      <c r="AP19" s="560" t="s">
        <v>263</v>
      </c>
      <c r="AQ19" s="560"/>
      <c r="AR19" s="560"/>
      <c r="AS19" s="560"/>
      <c r="AT19" s="560"/>
      <c r="AU19" s="540">
        <v>0</v>
      </c>
      <c r="AV19" s="540"/>
      <c r="AW19" s="540"/>
      <c r="AX19" s="565" t="s">
        <v>606</v>
      </c>
      <c r="AY19" s="565"/>
      <c r="AZ19" s="342">
        <v>0</v>
      </c>
      <c r="BA19" s="185"/>
      <c r="BB19" s="190"/>
      <c r="BC19" s="191"/>
      <c r="BD19" s="191"/>
      <c r="BE19" s="191"/>
      <c r="BF19" s="191"/>
      <c r="BG19" s="192"/>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row>
    <row r="20" spans="27:84" ht="24" customHeight="1">
      <c r="AA20" s="48">
        <v>15</v>
      </c>
      <c r="AB20" s="419">
        <v>19500</v>
      </c>
      <c r="AC20" s="419">
        <v>20050</v>
      </c>
      <c r="AD20" s="419">
        <v>20640</v>
      </c>
      <c r="AE20" s="419">
        <v>21230</v>
      </c>
      <c r="AF20" s="419">
        <v>18950</v>
      </c>
      <c r="AG20" s="419">
        <v>21230</v>
      </c>
      <c r="AH20" s="419">
        <v>21230</v>
      </c>
      <c r="AI20" s="189"/>
      <c r="AJ20" s="338"/>
      <c r="AK20" s="331"/>
      <c r="AL20" s="331"/>
      <c r="AM20" s="331"/>
      <c r="AN20" s="331"/>
      <c r="AO20" s="417">
        <v>0</v>
      </c>
      <c r="AP20" s="534" t="s">
        <v>264</v>
      </c>
      <c r="AQ20" s="534"/>
      <c r="AR20" s="534"/>
      <c r="AS20" s="534"/>
      <c r="AT20" s="534"/>
      <c r="AU20" s="543">
        <v>0</v>
      </c>
      <c r="AV20" s="543"/>
      <c r="AW20" s="543"/>
      <c r="AX20" s="521" t="s">
        <v>607</v>
      </c>
      <c r="AY20" s="521"/>
      <c r="AZ20" s="342">
        <v>0</v>
      </c>
      <c r="BA20" s="564" t="s">
        <v>253</v>
      </c>
      <c r="BB20" s="190"/>
      <c r="BC20" s="191"/>
      <c r="BD20" s="191"/>
      <c r="BE20" s="201"/>
      <c r="BF20" s="191"/>
      <c r="BG20" s="192"/>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row>
    <row r="21" spans="27:84" ht="24" customHeight="1">
      <c r="AA21" s="182">
        <v>16</v>
      </c>
      <c r="AB21" s="419">
        <v>20050</v>
      </c>
      <c r="AC21" s="419">
        <v>20640</v>
      </c>
      <c r="AD21" s="419">
        <v>21230</v>
      </c>
      <c r="AE21" s="419">
        <v>21820</v>
      </c>
      <c r="AF21" s="419">
        <v>19500</v>
      </c>
      <c r="AG21" s="419">
        <v>21820</v>
      </c>
      <c r="AH21" s="419">
        <v>21820</v>
      </c>
      <c r="AI21" s="189"/>
      <c r="AJ21" s="523" t="s">
        <v>325</v>
      </c>
      <c r="AK21" s="524"/>
      <c r="AL21" s="326" t="s">
        <v>5</v>
      </c>
      <c r="AM21" s="522">
        <v>0</v>
      </c>
      <c r="AN21" s="522"/>
      <c r="AO21" s="326" t="s">
        <v>17</v>
      </c>
      <c r="AP21" s="522">
        <v>0</v>
      </c>
      <c r="AQ21" s="522"/>
      <c r="AR21" s="326" t="s">
        <v>12</v>
      </c>
      <c r="AS21" s="522">
        <v>0</v>
      </c>
      <c r="AT21" s="522"/>
      <c r="AU21" s="531" t="s">
        <v>308</v>
      </c>
      <c r="AV21" s="531"/>
      <c r="AW21" s="522">
        <v>0</v>
      </c>
      <c r="AX21" s="522"/>
      <c r="AY21" s="345" t="s">
        <v>317</v>
      </c>
      <c r="AZ21" s="346">
        <v>0</v>
      </c>
      <c r="BA21" s="564"/>
      <c r="BB21" s="190"/>
      <c r="BC21" s="191"/>
      <c r="BD21" s="191"/>
      <c r="BE21" s="191"/>
      <c r="BF21" s="191"/>
      <c r="BG21" s="192"/>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row>
    <row r="22" spans="27:84" ht="22.5" customHeight="1">
      <c r="AA22" s="48">
        <v>17</v>
      </c>
      <c r="AB22" s="419">
        <v>20640</v>
      </c>
      <c r="AC22" s="419">
        <v>21230</v>
      </c>
      <c r="AD22" s="419">
        <v>21820</v>
      </c>
      <c r="AE22" s="419">
        <v>22460</v>
      </c>
      <c r="AF22" s="419">
        <v>20050</v>
      </c>
      <c r="AG22" s="419">
        <v>22460</v>
      </c>
      <c r="AH22" s="419">
        <v>22460</v>
      </c>
      <c r="AI22" s="189"/>
      <c r="AJ22" s="538" t="s">
        <v>81</v>
      </c>
      <c r="AK22" s="539"/>
      <c r="AL22" s="522" t="s">
        <v>333</v>
      </c>
      <c r="AM22" s="522"/>
      <c r="AN22" s="539" t="s">
        <v>82</v>
      </c>
      <c r="AO22" s="539"/>
      <c r="AP22" s="550" t="s">
        <v>334</v>
      </c>
      <c r="AQ22" s="550"/>
      <c r="AR22" s="550"/>
      <c r="AS22" s="550"/>
      <c r="AT22" s="539" t="s">
        <v>83</v>
      </c>
      <c r="AU22" s="539"/>
      <c r="AV22" s="529" t="s">
        <v>315</v>
      </c>
      <c r="AW22" s="529"/>
      <c r="AX22" s="529"/>
      <c r="AY22" s="529"/>
      <c r="AZ22" s="545"/>
      <c r="BA22" s="564"/>
      <c r="BB22" s="190"/>
      <c r="BC22" s="191"/>
      <c r="BD22" s="191"/>
      <c r="BE22" s="191"/>
      <c r="BF22" s="191"/>
      <c r="BG22" s="192"/>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row>
    <row r="23" spans="27:84" ht="23.25" customHeight="1">
      <c r="AA23" s="182">
        <v>18</v>
      </c>
      <c r="AB23" s="419">
        <v>21230</v>
      </c>
      <c r="AC23" s="419">
        <v>21820</v>
      </c>
      <c r="AD23" s="419">
        <v>22460</v>
      </c>
      <c r="AE23" s="419">
        <v>23100</v>
      </c>
      <c r="AF23" s="419">
        <v>20640</v>
      </c>
      <c r="AG23" s="419">
        <v>23100</v>
      </c>
      <c r="AH23" s="419">
        <v>23100</v>
      </c>
      <c r="AI23" s="189"/>
      <c r="AJ23" s="538" t="s">
        <v>208</v>
      </c>
      <c r="AK23" s="539"/>
      <c r="AL23" s="539"/>
      <c r="AM23" s="529" t="s">
        <v>316</v>
      </c>
      <c r="AN23" s="529"/>
      <c r="AO23" s="529"/>
      <c r="AP23" s="529"/>
      <c r="AQ23" s="529"/>
      <c r="AR23" s="539" t="s">
        <v>35</v>
      </c>
      <c r="AS23" s="539"/>
      <c r="AT23" s="529" t="s">
        <v>210</v>
      </c>
      <c r="AU23" s="529"/>
      <c r="AV23" s="529"/>
      <c r="AW23" s="529"/>
      <c r="AX23" s="546"/>
      <c r="AY23" s="547"/>
      <c r="AZ23" s="547"/>
      <c r="BA23" s="564"/>
      <c r="BB23" s="190"/>
      <c r="BC23" s="191"/>
      <c r="BD23" s="191"/>
      <c r="BE23" s="202"/>
      <c r="BF23" s="191"/>
      <c r="BG23" s="192"/>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row>
    <row r="24" spans="27:84" s="49" customFormat="1" ht="19.5" thickBot="1">
      <c r="AA24" s="49">
        <v>19</v>
      </c>
      <c r="AB24" s="419">
        <v>21820</v>
      </c>
      <c r="AC24" s="419">
        <v>22460</v>
      </c>
      <c r="AD24" s="419">
        <v>23100</v>
      </c>
      <c r="AE24" s="419">
        <v>23740</v>
      </c>
      <c r="AF24" s="419">
        <v>21230</v>
      </c>
      <c r="AG24" s="419">
        <v>23740</v>
      </c>
      <c r="AH24" s="419">
        <v>23740</v>
      </c>
      <c r="AI24" s="322"/>
      <c r="AJ24" s="551" t="s">
        <v>439</v>
      </c>
      <c r="AK24" s="552"/>
      <c r="AL24" s="552"/>
      <c r="AM24" s="519" t="s">
        <v>518</v>
      </c>
      <c r="AN24" s="519"/>
      <c r="AO24" s="519"/>
      <c r="AP24" s="519"/>
      <c r="AQ24" s="519"/>
      <c r="AR24" s="519"/>
      <c r="AS24" s="519"/>
      <c r="AT24" s="519"/>
      <c r="AU24" s="519"/>
      <c r="AV24" s="519"/>
      <c r="AW24" s="519"/>
      <c r="AX24" s="519"/>
      <c r="AY24" s="519"/>
      <c r="AZ24" s="520"/>
      <c r="BA24" s="323"/>
      <c r="BB24" s="175"/>
      <c r="BC24" s="176"/>
      <c r="BD24" s="176"/>
      <c r="BE24" s="176"/>
      <c r="BF24" s="176"/>
      <c r="BG24" s="177"/>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row>
    <row r="25" spans="2:84" s="49" customFormat="1" ht="15">
      <c r="B25" s="49" t="s">
        <v>7</v>
      </c>
      <c r="C25" s="49">
        <f>AB3</f>
        <v>32340</v>
      </c>
      <c r="AA25" s="179">
        <v>20</v>
      </c>
      <c r="AB25" s="419">
        <v>22460</v>
      </c>
      <c r="AC25" s="419">
        <v>23100</v>
      </c>
      <c r="AD25" s="419">
        <v>23740</v>
      </c>
      <c r="AE25" s="419">
        <v>24440</v>
      </c>
      <c r="AF25" s="419">
        <v>21820</v>
      </c>
      <c r="AG25" s="419">
        <v>24440</v>
      </c>
      <c r="AH25" s="419">
        <v>24440</v>
      </c>
      <c r="AI25" s="528" t="s">
        <v>254</v>
      </c>
      <c r="AJ25" s="528"/>
      <c r="AK25" s="528"/>
      <c r="AL25" s="528"/>
      <c r="AM25" s="528"/>
      <c r="AN25" s="528"/>
      <c r="AO25" s="528"/>
      <c r="AP25" s="528"/>
      <c r="AQ25" s="528"/>
      <c r="AR25" s="528"/>
      <c r="AS25" s="528"/>
      <c r="AT25" s="528"/>
      <c r="AU25" s="528"/>
      <c r="AV25" s="528"/>
      <c r="AW25" s="528"/>
      <c r="AX25" s="528"/>
      <c r="AY25" s="528"/>
      <c r="AZ25" s="528"/>
      <c r="BA25" s="528"/>
      <c r="BB25" s="528"/>
      <c r="BC25" s="528"/>
      <c r="BD25" s="528"/>
      <c r="BE25" s="528"/>
      <c r="BF25" s="528"/>
      <c r="BG25" s="52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row>
    <row r="26" spans="2:84" s="49" customFormat="1" ht="15">
      <c r="B26" s="49" t="s">
        <v>0</v>
      </c>
      <c r="C26" s="49" t="str">
        <f>C33</f>
        <v>October 2016</v>
      </c>
      <c r="AA26" s="49">
        <v>21</v>
      </c>
      <c r="AB26" s="419">
        <v>23100</v>
      </c>
      <c r="AC26" s="419">
        <v>23740</v>
      </c>
      <c r="AD26" s="419">
        <v>24440</v>
      </c>
      <c r="AE26" s="419">
        <v>25140</v>
      </c>
      <c r="AF26" s="419">
        <v>22460</v>
      </c>
      <c r="AG26" s="419">
        <v>25140</v>
      </c>
      <c r="AH26" s="419">
        <v>25140</v>
      </c>
      <c r="AI26" s="530" t="s">
        <v>479</v>
      </c>
      <c r="AJ26" s="530"/>
      <c r="AK26" s="530"/>
      <c r="AL26" s="530"/>
      <c r="AM26" s="530"/>
      <c r="AN26" s="530"/>
      <c r="AO26" s="530"/>
      <c r="AP26" s="530"/>
      <c r="AQ26" s="530"/>
      <c r="AR26" s="530"/>
      <c r="AS26" s="530"/>
      <c r="AT26" s="530"/>
      <c r="AU26" s="530"/>
      <c r="AV26" s="530"/>
      <c r="AW26" s="530"/>
      <c r="AX26" s="530"/>
      <c r="AY26" s="530"/>
      <c r="AZ26" s="530"/>
      <c r="BA26" s="530"/>
      <c r="BB26" s="530"/>
      <c r="BC26" s="530"/>
      <c r="BD26" s="530"/>
      <c r="BE26" s="530"/>
      <c r="BF26" s="530"/>
      <c r="BG26" s="530"/>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row>
    <row r="27" spans="2:84" s="49" customFormat="1" ht="15">
      <c r="B27" s="180" t="s">
        <v>1</v>
      </c>
      <c r="C27" s="180">
        <f>E32</f>
      </c>
      <c r="D27" s="180">
        <f>F32</f>
      </c>
      <c r="AA27" s="179">
        <v>22</v>
      </c>
      <c r="AB27" s="419">
        <v>23740</v>
      </c>
      <c r="AC27" s="419">
        <v>24440</v>
      </c>
      <c r="AD27" s="419">
        <v>25140</v>
      </c>
      <c r="AE27" s="419">
        <v>25840</v>
      </c>
      <c r="AF27" s="419">
        <v>23100</v>
      </c>
      <c r="AG27" s="419">
        <v>25840</v>
      </c>
      <c r="AH27" s="419">
        <v>25840</v>
      </c>
      <c r="AI27" s="530"/>
      <c r="AJ27" s="530"/>
      <c r="AK27" s="530"/>
      <c r="AL27" s="530"/>
      <c r="AM27" s="530"/>
      <c r="AN27" s="530"/>
      <c r="AO27" s="530"/>
      <c r="AP27" s="530"/>
      <c r="AQ27" s="530"/>
      <c r="AR27" s="530"/>
      <c r="AS27" s="530"/>
      <c r="AT27" s="530"/>
      <c r="AU27" s="530"/>
      <c r="AV27" s="530"/>
      <c r="AW27" s="530"/>
      <c r="AX27" s="530"/>
      <c r="AY27" s="530"/>
      <c r="AZ27" s="530"/>
      <c r="BA27" s="530"/>
      <c r="BB27" s="530"/>
      <c r="BC27" s="530"/>
      <c r="BD27" s="530"/>
      <c r="BE27" s="530"/>
      <c r="BF27" s="530"/>
      <c r="BG27" s="530"/>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row>
    <row r="28" spans="2:84" ht="15">
      <c r="B28" s="182" t="s">
        <v>2</v>
      </c>
      <c r="C28" s="182">
        <f>I32</f>
      </c>
      <c r="D28" s="182">
        <f>J32</f>
      </c>
      <c r="E28" s="182">
        <f>K32</f>
      </c>
      <c r="AA28" s="48">
        <v>23</v>
      </c>
      <c r="AB28" s="419">
        <v>24440</v>
      </c>
      <c r="AC28" s="419">
        <v>25140</v>
      </c>
      <c r="AD28" s="419">
        <v>25840</v>
      </c>
      <c r="AE28" s="419">
        <v>26600</v>
      </c>
      <c r="AF28" s="419">
        <v>23740</v>
      </c>
      <c r="AG28" s="419">
        <v>26600</v>
      </c>
      <c r="AH28" s="419">
        <v>26600</v>
      </c>
      <c r="AI28" s="178"/>
      <c r="AJ28" s="178" t="s">
        <v>549</v>
      </c>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row>
    <row r="29" spans="27:84" ht="15">
      <c r="AA29" s="182">
        <v>24</v>
      </c>
      <c r="AB29" s="419">
        <v>25140</v>
      </c>
      <c r="AC29" s="419">
        <v>25840</v>
      </c>
      <c r="AD29" s="419">
        <v>26600</v>
      </c>
      <c r="AE29" s="419">
        <v>27360</v>
      </c>
      <c r="AF29" s="419">
        <v>24440</v>
      </c>
      <c r="AG29" s="419">
        <v>27360</v>
      </c>
      <c r="AH29" s="419">
        <v>27360</v>
      </c>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row>
    <row r="30" spans="27:77" ht="15">
      <c r="AA30" s="48">
        <v>25</v>
      </c>
      <c r="AB30" s="419">
        <v>25840</v>
      </c>
      <c r="AC30" s="419">
        <v>26600</v>
      </c>
      <c r="AD30" s="419">
        <v>27360</v>
      </c>
      <c r="AE30" s="419">
        <v>28120</v>
      </c>
      <c r="AF30" s="419">
        <v>25140</v>
      </c>
      <c r="AG30" s="419">
        <v>28120</v>
      </c>
      <c r="AH30" s="419">
        <v>28120</v>
      </c>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81"/>
      <c r="BI30" s="181"/>
      <c r="BJ30" s="181"/>
      <c r="BK30" s="181"/>
      <c r="BL30" s="181"/>
      <c r="BM30" s="181"/>
      <c r="BN30" s="181"/>
      <c r="BO30" s="181"/>
      <c r="BP30" s="181"/>
      <c r="BQ30" s="181"/>
      <c r="BR30" s="181"/>
      <c r="BS30" s="181"/>
      <c r="BT30" s="181"/>
      <c r="BU30" s="181"/>
      <c r="BV30" s="181"/>
      <c r="BW30" s="181"/>
      <c r="BX30" s="181"/>
      <c r="BY30" s="181"/>
    </row>
    <row r="31" spans="2:77" ht="15" customHeight="1">
      <c r="B31" s="548" t="s">
        <v>0</v>
      </c>
      <c r="C31" s="548"/>
      <c r="D31" s="544" t="s">
        <v>1</v>
      </c>
      <c r="E31" s="544"/>
      <c r="F31" s="544"/>
      <c r="G31" s="544"/>
      <c r="H31" s="549" t="s">
        <v>2</v>
      </c>
      <c r="I31" s="549"/>
      <c r="J31" s="549"/>
      <c r="K31" s="549"/>
      <c r="AA31" s="182">
        <v>26</v>
      </c>
      <c r="AB31" s="419">
        <v>26600</v>
      </c>
      <c r="AC31" s="419">
        <v>27360</v>
      </c>
      <c r="AD31" s="419">
        <v>28120</v>
      </c>
      <c r="AE31" s="419">
        <v>28940</v>
      </c>
      <c r="AF31" s="419">
        <v>25840</v>
      </c>
      <c r="AG31" s="419">
        <v>28940</v>
      </c>
      <c r="AH31" s="419">
        <v>28940</v>
      </c>
      <c r="AI31" s="178"/>
      <c r="AJ31" s="181"/>
      <c r="AK31" s="181"/>
      <c r="AL31" s="181"/>
      <c r="AM31" s="181"/>
      <c r="AN31" s="181"/>
      <c r="AO31" s="181"/>
      <c r="AP31" s="181"/>
      <c r="AQ31" s="181"/>
      <c r="AR31" s="181"/>
      <c r="AS31" s="181"/>
      <c r="AT31" s="181"/>
      <c r="AU31" s="181"/>
      <c r="AV31" s="181"/>
      <c r="AW31" s="178"/>
      <c r="AX31" s="178"/>
      <c r="AY31" s="178"/>
      <c r="AZ31" s="178"/>
      <c r="BA31" s="178"/>
      <c r="BB31" s="178"/>
      <c r="BC31" s="178"/>
      <c r="BD31" s="178"/>
      <c r="BE31" s="178"/>
      <c r="BF31" s="178"/>
      <c r="BG31" s="178"/>
      <c r="BH31" s="181"/>
      <c r="BI31" s="181"/>
      <c r="BJ31" s="181"/>
      <c r="BK31" s="181"/>
      <c r="BL31" s="181"/>
      <c r="BM31" s="181"/>
      <c r="BN31" s="181"/>
      <c r="BO31" s="181"/>
      <c r="BP31" s="181"/>
      <c r="BQ31" s="181"/>
      <c r="BR31" s="181"/>
      <c r="BS31" s="181"/>
      <c r="BT31" s="181"/>
      <c r="BU31" s="181"/>
      <c r="BV31" s="181"/>
      <c r="BW31" s="181"/>
      <c r="BX31" s="181"/>
      <c r="BY31" s="181"/>
    </row>
    <row r="32" spans="2:77" ht="15" customHeight="1">
      <c r="B32" s="510"/>
      <c r="C32" s="510"/>
      <c r="D32" s="203" t="str">
        <f>VLOOKUP(D33,B34:D35,3,0)</f>
        <v>No</v>
      </c>
      <c r="E32" s="203">
        <f>IF(ISERROR(VLOOKUP(E33,E34:E64,1,0)),"",VLOOKUP(E33,E34:E64,1,0))</f>
      </c>
      <c r="F32" s="203">
        <f>IF(ISERROR(VLOOKUP(F33,E34:F45,2,0)),"",VLOOKUP(F33,E34:F45,2,0))</f>
      </c>
      <c r="G32" s="203"/>
      <c r="H32" s="203"/>
      <c r="I32" s="203">
        <f>IF(ISERROR(VLOOKUP(I33,I34:I64,1,0)),"",VLOOKUP(I33,I34:I64,1,0))</f>
      </c>
      <c r="J32" s="203">
        <f>IF(ISERROR(VLOOKUP(J33,I34:J45,2,0)),"",VLOOKUP(J33,I34:J45,2,0))</f>
      </c>
      <c r="K32" s="203">
        <f>IF(ISERROR(VLOOKUP(K33,I34:K35,3,0)),"",VLOOKUP(K33,I34:K35,3,0))</f>
      </c>
      <c r="L32" s="203"/>
      <c r="M32" s="203"/>
      <c r="P32" s="48" t="s">
        <v>8</v>
      </c>
      <c r="Q32" s="48">
        <f>IF(AJ28="","",C25)</f>
        <v>32340</v>
      </c>
      <c r="R32" s="48">
        <v>1</v>
      </c>
      <c r="S32" s="48">
        <f>Q32</f>
        <v>32340</v>
      </c>
      <c r="AA32" s="48">
        <v>27</v>
      </c>
      <c r="AB32" s="419">
        <v>27360</v>
      </c>
      <c r="AC32" s="419">
        <v>28120</v>
      </c>
      <c r="AD32" s="419">
        <v>28940</v>
      </c>
      <c r="AE32" s="419">
        <v>29760</v>
      </c>
      <c r="AF32" s="419">
        <v>26600</v>
      </c>
      <c r="AG32" s="419">
        <v>29760</v>
      </c>
      <c r="AH32" s="419">
        <v>29760</v>
      </c>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row>
    <row r="33" spans="2:77" ht="15">
      <c r="B33" s="182">
        <v>8</v>
      </c>
      <c r="C33" s="182" t="str">
        <f>VLOOKUP(B33,B34:C45,2,0)</f>
        <v>October 2016</v>
      </c>
      <c r="D33" s="182">
        <v>1</v>
      </c>
      <c r="E33" s="182">
        <v>17</v>
      </c>
      <c r="F33" s="182">
        <v>8</v>
      </c>
      <c r="G33" s="182"/>
      <c r="H33" s="182">
        <v>1</v>
      </c>
      <c r="I33" s="182">
        <v>3</v>
      </c>
      <c r="J33" s="182">
        <v>5</v>
      </c>
      <c r="K33" s="182">
        <v>2</v>
      </c>
      <c r="L33" s="182"/>
      <c r="M33" s="182"/>
      <c r="P33" s="48" t="s">
        <v>0</v>
      </c>
      <c r="Q33" s="48">
        <f>B33</f>
        <v>8</v>
      </c>
      <c r="R33" s="48">
        <f>SMALL(Q33:Q35,1)</f>
        <v>8</v>
      </c>
      <c r="S33" s="48">
        <f>IF(AND(R33=R34,R33=R35),VLOOKUP(Q32,AB6:AE81,4,0),IF(AND(R33=R34,R34&lt;&gt;R35),VLOOKUP(Q32,AB6:AE81,3,0),VLOOKUP(Q32,AB6:AE81,2,0)))</f>
        <v>33220</v>
      </c>
      <c r="AA33" s="182">
        <v>28</v>
      </c>
      <c r="AB33" s="419">
        <v>28120</v>
      </c>
      <c r="AC33" s="419">
        <v>28940</v>
      </c>
      <c r="AD33" s="419">
        <v>29760</v>
      </c>
      <c r="AE33" s="419">
        <v>30580</v>
      </c>
      <c r="AF33" s="419">
        <v>27360</v>
      </c>
      <c r="AG33" s="419">
        <v>30580</v>
      </c>
      <c r="AH33" s="419">
        <v>30580</v>
      </c>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row>
    <row r="34" spans="2:77" ht="15">
      <c r="B34" s="48">
        <v>1</v>
      </c>
      <c r="C34" s="204" t="str">
        <f>"March"&amp;" 2016"</f>
        <v>March 2016</v>
      </c>
      <c r="D34" s="48" t="s">
        <v>3</v>
      </c>
      <c r="E34" s="48">
        <f>IF($D$33=1,"",B34)</f>
      </c>
      <c r="F34" s="204">
        <f>IF($D$33=1,"",C34)</f>
      </c>
      <c r="I34" s="48">
        <f>IF($H$33=2,B34,"")</f>
      </c>
      <c r="J34" s="204">
        <f>IF($H$33=2,C34,"")</f>
      </c>
      <c r="K34" s="48">
        <f>IF($H$33=2,"Promotion","")</f>
      </c>
      <c r="P34" s="48" t="s">
        <v>1</v>
      </c>
      <c r="Q34" s="48">
        <f>IF(AND(E32&lt;&gt;"",E32&gt;1),F33+1,IF(E32="","",F33))</f>
      </c>
      <c r="R34" s="48">
        <f>IF(ISERROR(SMALL(Q33:Q35,2)),"",SMALL(Q33:Q35,2))</f>
      </c>
      <c r="S34" s="48">
        <f>IF(AND(R33&lt;R34,R34&lt;R35),VLOOKUP(S33,AB6:AE81,2,0),IF(R34="",S33,IF(AND(R33&lt;R34,R34=R35),VLOOKUP(S33,AB6:AE81,3,0),IF(AND(R33=R34=R35),S33,S33))))</f>
        <v>33220</v>
      </c>
      <c r="AA34" s="48">
        <v>29</v>
      </c>
      <c r="AB34" s="419">
        <v>28940</v>
      </c>
      <c r="AC34" s="419">
        <v>29760</v>
      </c>
      <c r="AD34" s="419">
        <v>30580</v>
      </c>
      <c r="AE34" s="419">
        <v>31460</v>
      </c>
      <c r="AF34" s="419">
        <v>28120</v>
      </c>
      <c r="AG34" s="419">
        <v>31460</v>
      </c>
      <c r="AH34" s="419">
        <v>31460</v>
      </c>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row>
    <row r="35" spans="2:77" ht="15">
      <c r="B35" s="48">
        <v>2</v>
      </c>
      <c r="C35" s="204" t="str">
        <f>"April"&amp;" 2016"</f>
        <v>April 2016</v>
      </c>
      <c r="D35" s="48" t="s">
        <v>4</v>
      </c>
      <c r="E35" s="48">
        <f aca="true" t="shared" si="0" ref="E35:E64">IF($D$33=1,"",B35)</f>
      </c>
      <c r="F35" s="204">
        <f aca="true" t="shared" si="1" ref="F35:F45">IF($D$33=1,"",C35)</f>
      </c>
      <c r="I35" s="48">
        <f aca="true" t="shared" si="2" ref="I35:I64">IF($H$33=2,B35,"")</f>
      </c>
      <c r="J35" s="204">
        <f aca="true" t="shared" si="3" ref="J35:J45">IF($H$33=2,C35,"")</f>
      </c>
      <c r="K35" s="48">
        <f>IF($H$33=2,"Increment","")</f>
      </c>
      <c r="P35" s="48" t="s">
        <v>9</v>
      </c>
      <c r="Q35" s="48">
        <f>IF(AND(I32&lt;&gt;"",I32&gt;1),J33+1,IF(I32="","",J33))</f>
      </c>
      <c r="R35" s="48">
        <f>IF(ISERROR(SMALL(Q33:Q35,3)),"",SMALL(Q33:Q35,3))</f>
      </c>
      <c r="S35" s="48">
        <f>IF(AND(R33=R34=R35),S33,IF(AND(R33&lt;R34&lt;R35),VLOOKUP(S34,AB6:AE81,2,0),IF(R35="",S34,IF(AND(R33=R34,R34&lt;R35),VLOOKUP(S34,AB6:AE81,2,0),VLOOKUP(S34,AB6:AE81,2,0)))))</f>
        <v>33220</v>
      </c>
      <c r="AA35" s="182">
        <v>30</v>
      </c>
      <c r="AB35" s="419">
        <v>29760</v>
      </c>
      <c r="AC35" s="419">
        <v>30580</v>
      </c>
      <c r="AD35" s="419">
        <v>31460</v>
      </c>
      <c r="AE35" s="419">
        <v>32340</v>
      </c>
      <c r="AF35" s="419">
        <v>28940</v>
      </c>
      <c r="AG35" s="419">
        <v>32340</v>
      </c>
      <c r="AH35" s="419">
        <v>32340</v>
      </c>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row>
    <row r="36" spans="2:77" ht="15">
      <c r="B36" s="48">
        <v>3</v>
      </c>
      <c r="C36" s="204" t="str">
        <f>"May"&amp;" 2016"</f>
        <v>May 2016</v>
      </c>
      <c r="E36" s="48">
        <f t="shared" si="0"/>
      </c>
      <c r="F36" s="204">
        <f t="shared" si="1"/>
      </c>
      <c r="I36" s="48">
        <f t="shared" si="2"/>
      </c>
      <c r="J36" s="204">
        <f t="shared" si="3"/>
      </c>
      <c r="P36" s="48" t="s">
        <v>13</v>
      </c>
      <c r="Q36" s="48" t="s">
        <v>18</v>
      </c>
      <c r="R36" s="48" t="s">
        <v>19</v>
      </c>
      <c r="S36" s="48" t="s">
        <v>87</v>
      </c>
      <c r="T36" s="48" t="s">
        <v>89</v>
      </c>
      <c r="U36" s="48" t="s">
        <v>91</v>
      </c>
      <c r="AA36" s="48">
        <v>31</v>
      </c>
      <c r="AB36" s="419">
        <v>30580</v>
      </c>
      <c r="AC36" s="419">
        <v>31460</v>
      </c>
      <c r="AD36" s="419">
        <v>32340</v>
      </c>
      <c r="AE36" s="419">
        <v>33220</v>
      </c>
      <c r="AF36" s="419">
        <v>29760</v>
      </c>
      <c r="AG36" s="419">
        <v>33220</v>
      </c>
      <c r="AH36" s="419">
        <v>33220</v>
      </c>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row>
    <row r="37" spans="2:77" ht="15">
      <c r="B37" s="48">
        <v>4</v>
      </c>
      <c r="C37" s="204" t="str">
        <f>"June"&amp;" 2016"</f>
        <v>June 2016</v>
      </c>
      <c r="E37" s="48">
        <f t="shared" si="0"/>
      </c>
      <c r="F37" s="204">
        <f t="shared" si="1"/>
      </c>
      <c r="I37" s="48">
        <f t="shared" si="2"/>
      </c>
      <c r="J37" s="204">
        <f t="shared" si="3"/>
      </c>
      <c r="M37" s="48" t="s">
        <v>539</v>
      </c>
      <c r="N37" s="204">
        <f>J109</f>
      </c>
      <c r="O37" s="48">
        <v>1</v>
      </c>
      <c r="P37" s="48">
        <f>LOOKUP(O37,$R$32:$R$35,$S$32:$S$35)</f>
        <v>32340</v>
      </c>
      <c r="Q37" s="48">
        <f>IF($I$74-1=0,$F$74,IF(AND($I$74-1&gt;=1,$I$74-1&lt;=O37),$H$74,$F$74))</f>
        <v>12</v>
      </c>
      <c r="R37" s="48">
        <v>12.052</v>
      </c>
      <c r="S37" s="48">
        <f>IF($S$74-1=0,$AP$9,IF($S$74-1&gt;=O37+1,$AP$9,$AX$9))</f>
        <v>12000</v>
      </c>
      <c r="T37" s="48">
        <f aca="true" t="shared" si="4" ref="T37:T48">IF($U$74-1=0,$AM$10,IF($U$74-1&gt;=O37+1,$AM$10,$AY$10))</f>
        <v>450</v>
      </c>
      <c r="U37" s="48">
        <f>IF($W$74-1=0,$P$63,IF($W$74-1&gt;=O37+1,$P$63,$R$63))</f>
        <v>60</v>
      </c>
      <c r="V37" s="48" t="s">
        <v>329</v>
      </c>
      <c r="AA37" s="182">
        <v>32</v>
      </c>
      <c r="AB37" s="419">
        <v>31460</v>
      </c>
      <c r="AC37" s="419">
        <v>32340</v>
      </c>
      <c r="AD37" s="419">
        <v>33220</v>
      </c>
      <c r="AE37" s="419">
        <v>34170</v>
      </c>
      <c r="AF37" s="419">
        <v>30580</v>
      </c>
      <c r="AG37" s="419">
        <v>34170</v>
      </c>
      <c r="AH37" s="419">
        <v>34170</v>
      </c>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row>
    <row r="38" spans="2:77" ht="15">
      <c r="B38" s="48">
        <v>5</v>
      </c>
      <c r="C38" s="204" t="str">
        <f>"July"&amp;" 2016"</f>
        <v>July 2016</v>
      </c>
      <c r="E38" s="48">
        <f t="shared" si="0"/>
      </c>
      <c r="F38" s="204">
        <f t="shared" si="1"/>
      </c>
      <c r="I38" s="48">
        <f t="shared" si="2"/>
      </c>
      <c r="J38" s="204">
        <f t="shared" si="3"/>
      </c>
      <c r="M38" s="48" t="s">
        <v>540</v>
      </c>
      <c r="N38" s="204">
        <f aca="true" t="shared" si="5" ref="N38:N48">J110</f>
      </c>
      <c r="O38" s="48">
        <v>2</v>
      </c>
      <c r="P38" s="48">
        <f aca="true" t="shared" si="6" ref="P38:P48">LOOKUP(O38,$R$32:$R$35,$S$32:$S$35)</f>
        <v>32340</v>
      </c>
      <c r="Q38" s="48">
        <f aca="true" t="shared" si="7" ref="Q38:Q48">IF($I$74-1=0,$F$74,IF(AND($I$74-1&gt;=1,$I$74-1&lt;=O38),$H$74,$F$74))</f>
        <v>12</v>
      </c>
      <c r="R38" s="48">
        <v>12.052</v>
      </c>
      <c r="S38" s="48">
        <f aca="true" t="shared" si="8" ref="S38:S48">IF($S$74-1=0,$AP$9,IF($S$74-1&gt;=O38+1,$AP$9,$AX$9))</f>
        <v>12000</v>
      </c>
      <c r="T38" s="48">
        <f t="shared" si="4"/>
        <v>450</v>
      </c>
      <c r="U38" s="48">
        <f aca="true" t="shared" si="9" ref="U38:U48">IF($W$74-1=0,$P$63,IF($W$74-1&gt;=O38+1,$P$63,$R$63))</f>
        <v>60</v>
      </c>
      <c r="AA38" s="48">
        <v>33</v>
      </c>
      <c r="AB38" s="419">
        <v>32340</v>
      </c>
      <c r="AC38" s="419">
        <v>33220</v>
      </c>
      <c r="AD38" s="419">
        <v>34170</v>
      </c>
      <c r="AE38" s="419">
        <v>35120</v>
      </c>
      <c r="AF38" s="419">
        <v>31460</v>
      </c>
      <c r="AG38" s="419">
        <v>35120</v>
      </c>
      <c r="AH38" s="419">
        <v>35120</v>
      </c>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row>
    <row r="39" spans="2:77" ht="15">
      <c r="B39" s="48">
        <v>6</v>
      </c>
      <c r="C39" s="204" t="str">
        <f>"August"&amp;" 2016"</f>
        <v>August 2016</v>
      </c>
      <c r="E39" s="48">
        <f t="shared" si="0"/>
      </c>
      <c r="F39" s="204">
        <f t="shared" si="1"/>
      </c>
      <c r="I39" s="48">
        <f t="shared" si="2"/>
      </c>
      <c r="J39" s="204">
        <f t="shared" si="3"/>
      </c>
      <c r="M39" s="48" t="s">
        <v>440</v>
      </c>
      <c r="N39" s="204">
        <f t="shared" si="5"/>
      </c>
      <c r="O39" s="48">
        <v>3</v>
      </c>
      <c r="P39" s="48">
        <f t="shared" si="6"/>
        <v>32340</v>
      </c>
      <c r="Q39" s="48">
        <f t="shared" si="7"/>
        <v>12</v>
      </c>
      <c r="R39" s="48">
        <v>12.052</v>
      </c>
      <c r="S39" s="48">
        <f t="shared" si="8"/>
        <v>12000</v>
      </c>
      <c r="T39" s="48">
        <f t="shared" si="4"/>
        <v>450</v>
      </c>
      <c r="U39" s="48">
        <f t="shared" si="9"/>
        <v>60</v>
      </c>
      <c r="AA39" s="182">
        <v>34</v>
      </c>
      <c r="AB39" s="419">
        <v>33220</v>
      </c>
      <c r="AC39" s="419">
        <v>34170</v>
      </c>
      <c r="AD39" s="419">
        <v>35120</v>
      </c>
      <c r="AE39" s="419">
        <v>36070</v>
      </c>
      <c r="AF39" s="419">
        <v>32340</v>
      </c>
      <c r="AG39" s="419">
        <v>36070</v>
      </c>
      <c r="AH39" s="419">
        <v>36070</v>
      </c>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row>
    <row r="40" spans="2:77" ht="15">
      <c r="B40" s="48">
        <v>7</v>
      </c>
      <c r="C40" s="204" t="str">
        <f>"September"&amp;" 2016"</f>
        <v>September 2016</v>
      </c>
      <c r="E40" s="48">
        <f t="shared" si="0"/>
      </c>
      <c r="F40" s="204">
        <f t="shared" si="1"/>
      </c>
      <c r="I40" s="48">
        <f t="shared" si="2"/>
      </c>
      <c r="J40" s="204">
        <f t="shared" si="3"/>
      </c>
      <c r="M40" s="48" t="s">
        <v>541</v>
      </c>
      <c r="N40" s="204">
        <f t="shared" si="5"/>
      </c>
      <c r="O40" s="48">
        <v>4</v>
      </c>
      <c r="P40" s="48">
        <f t="shared" si="6"/>
        <v>32340</v>
      </c>
      <c r="Q40" s="48">
        <f t="shared" si="7"/>
        <v>12</v>
      </c>
      <c r="R40" s="48">
        <v>12.052</v>
      </c>
      <c r="S40" s="48">
        <f t="shared" si="8"/>
        <v>12000</v>
      </c>
      <c r="T40" s="48">
        <f t="shared" si="4"/>
        <v>450</v>
      </c>
      <c r="U40" s="48">
        <f t="shared" si="9"/>
        <v>60</v>
      </c>
      <c r="AA40" s="48">
        <v>35</v>
      </c>
      <c r="AB40" s="419">
        <v>34170</v>
      </c>
      <c r="AC40" s="419">
        <v>35120</v>
      </c>
      <c r="AD40" s="419">
        <v>36070</v>
      </c>
      <c r="AE40" s="419">
        <v>37100</v>
      </c>
      <c r="AF40" s="419">
        <v>33220</v>
      </c>
      <c r="AG40" s="419">
        <v>37100</v>
      </c>
      <c r="AH40" s="419">
        <v>37100</v>
      </c>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row>
    <row r="41" spans="2:77" ht="15">
      <c r="B41" s="48">
        <v>8</v>
      </c>
      <c r="C41" s="204" t="str">
        <f>"October"&amp;" 2016"</f>
        <v>October 2016</v>
      </c>
      <c r="E41" s="48">
        <f t="shared" si="0"/>
      </c>
      <c r="F41" s="204">
        <f t="shared" si="1"/>
      </c>
      <c r="I41" s="48">
        <f t="shared" si="2"/>
      </c>
      <c r="J41" s="204">
        <f t="shared" si="3"/>
      </c>
      <c r="M41" s="48" t="s">
        <v>542</v>
      </c>
      <c r="N41" s="204">
        <f t="shared" si="5"/>
      </c>
      <c r="O41" s="48">
        <v>5</v>
      </c>
      <c r="P41" s="48">
        <f t="shared" si="6"/>
        <v>32340</v>
      </c>
      <c r="Q41" s="48">
        <f t="shared" si="7"/>
        <v>12</v>
      </c>
      <c r="R41" s="48">
        <v>12.052</v>
      </c>
      <c r="S41" s="48">
        <f t="shared" si="8"/>
        <v>12000</v>
      </c>
      <c r="T41" s="48">
        <f t="shared" si="4"/>
        <v>450</v>
      </c>
      <c r="U41" s="48">
        <f t="shared" si="9"/>
        <v>60</v>
      </c>
      <c r="AA41" s="182">
        <v>36</v>
      </c>
      <c r="AB41" s="419">
        <v>35120</v>
      </c>
      <c r="AC41" s="419">
        <v>36070</v>
      </c>
      <c r="AD41" s="419">
        <v>37100</v>
      </c>
      <c r="AE41" s="419">
        <v>38130</v>
      </c>
      <c r="AF41" s="419">
        <v>34170</v>
      </c>
      <c r="AG41" s="419">
        <v>38130</v>
      </c>
      <c r="AH41" s="419">
        <v>38130</v>
      </c>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row>
    <row r="42" spans="2:77" ht="15">
      <c r="B42" s="48">
        <v>9</v>
      </c>
      <c r="C42" s="204" t="str">
        <f>"November"&amp;" 2016"</f>
        <v>November 2016</v>
      </c>
      <c r="E42" s="48">
        <f t="shared" si="0"/>
      </c>
      <c r="F42" s="204">
        <f t="shared" si="1"/>
      </c>
      <c r="I42" s="48">
        <f t="shared" si="2"/>
      </c>
      <c r="J42" s="204">
        <f t="shared" si="3"/>
      </c>
      <c r="M42" s="48" t="s">
        <v>59</v>
      </c>
      <c r="N42" s="204">
        <f t="shared" si="5"/>
      </c>
      <c r="O42" s="48">
        <v>6</v>
      </c>
      <c r="P42" s="48">
        <f t="shared" si="6"/>
        <v>32340</v>
      </c>
      <c r="Q42" s="48">
        <f t="shared" si="7"/>
        <v>12</v>
      </c>
      <c r="R42" s="48">
        <v>15.196</v>
      </c>
      <c r="S42" s="48">
        <f t="shared" si="8"/>
        <v>12000</v>
      </c>
      <c r="T42" s="48">
        <f t="shared" si="4"/>
        <v>450</v>
      </c>
      <c r="U42" s="48">
        <f t="shared" si="9"/>
        <v>60</v>
      </c>
      <c r="V42" s="48">
        <f>ROUND(P42*IF(OR($P$57=2,$P$57=3),27,0)%,0)</f>
        <v>0</v>
      </c>
      <c r="AA42" s="48">
        <v>37</v>
      </c>
      <c r="AB42" s="419">
        <v>36070</v>
      </c>
      <c r="AC42" s="419">
        <v>37100</v>
      </c>
      <c r="AD42" s="419">
        <v>38130</v>
      </c>
      <c r="AE42" s="419">
        <v>39160</v>
      </c>
      <c r="AF42" s="419">
        <v>35120</v>
      </c>
      <c r="AG42" s="419">
        <v>39160</v>
      </c>
      <c r="AH42" s="419">
        <v>39160</v>
      </c>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row>
    <row r="43" spans="2:77" ht="15">
      <c r="B43" s="48">
        <v>10</v>
      </c>
      <c r="C43" s="204" t="str">
        <f>"December"&amp;" 2016"</f>
        <v>December 2016</v>
      </c>
      <c r="E43" s="48">
        <f t="shared" si="0"/>
      </c>
      <c r="F43" s="204">
        <f t="shared" si="1"/>
      </c>
      <c r="I43" s="48">
        <f t="shared" si="2"/>
      </c>
      <c r="J43" s="204">
        <f t="shared" si="3"/>
      </c>
      <c r="M43" s="48" t="s">
        <v>543</v>
      </c>
      <c r="N43" s="204">
        <f t="shared" si="5"/>
      </c>
      <c r="O43" s="48">
        <v>7</v>
      </c>
      <c r="P43" s="48">
        <f t="shared" si="6"/>
        <v>32340</v>
      </c>
      <c r="Q43" s="48">
        <f t="shared" si="7"/>
        <v>12</v>
      </c>
      <c r="R43" s="48">
        <v>15.196</v>
      </c>
      <c r="S43" s="48">
        <f t="shared" si="8"/>
        <v>12000</v>
      </c>
      <c r="T43" s="48">
        <f t="shared" si="4"/>
        <v>450</v>
      </c>
      <c r="U43" s="48">
        <f t="shared" si="9"/>
        <v>60</v>
      </c>
      <c r="V43" s="48">
        <f>ROUND(P43*IF(AND($P$57&lt;&gt;2,$P$57=3),27,0)%,0)</f>
        <v>0</v>
      </c>
      <c r="AA43" s="182">
        <v>38</v>
      </c>
      <c r="AB43" s="419">
        <v>37100</v>
      </c>
      <c r="AC43" s="419">
        <v>38130</v>
      </c>
      <c r="AD43" s="419">
        <v>39160</v>
      </c>
      <c r="AE43" s="419">
        <v>40270</v>
      </c>
      <c r="AF43" s="419">
        <v>36070</v>
      </c>
      <c r="AG43" s="419">
        <v>40270</v>
      </c>
      <c r="AH43" s="419">
        <v>40270</v>
      </c>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row>
    <row r="44" spans="2:77" ht="15">
      <c r="B44" s="48">
        <v>11</v>
      </c>
      <c r="C44" s="204" t="str">
        <f>"January"&amp;" 2017"</f>
        <v>January 2017</v>
      </c>
      <c r="E44" s="48">
        <f t="shared" si="0"/>
      </c>
      <c r="F44" s="204">
        <f t="shared" si="1"/>
      </c>
      <c r="I44" s="48">
        <f t="shared" si="2"/>
      </c>
      <c r="J44" s="204">
        <f t="shared" si="3"/>
      </c>
      <c r="M44" s="48" t="s">
        <v>544</v>
      </c>
      <c r="N44" s="204">
        <f t="shared" si="5"/>
      </c>
      <c r="O44" s="48">
        <v>8</v>
      </c>
      <c r="P44" s="48">
        <f t="shared" si="6"/>
        <v>33220</v>
      </c>
      <c r="Q44" s="48">
        <f t="shared" si="7"/>
        <v>12</v>
      </c>
      <c r="R44" s="48">
        <v>15.196</v>
      </c>
      <c r="S44" s="48">
        <f t="shared" si="8"/>
        <v>12000</v>
      </c>
      <c r="T44" s="48">
        <f t="shared" si="4"/>
        <v>450</v>
      </c>
      <c r="U44" s="48">
        <f t="shared" si="9"/>
        <v>60</v>
      </c>
      <c r="AA44" s="48">
        <v>39</v>
      </c>
      <c r="AB44" s="419">
        <v>38130</v>
      </c>
      <c r="AC44" s="419">
        <v>39160</v>
      </c>
      <c r="AD44" s="419">
        <v>40270</v>
      </c>
      <c r="AE44" s="419">
        <v>41380</v>
      </c>
      <c r="AF44" s="419">
        <v>37100</v>
      </c>
      <c r="AG44" s="419">
        <v>41380</v>
      </c>
      <c r="AH44" s="419">
        <v>41380</v>
      </c>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row>
    <row r="45" spans="2:34" ht="15">
      <c r="B45" s="48">
        <v>12</v>
      </c>
      <c r="C45" s="204" t="str">
        <f>"February"&amp;" 2017"</f>
        <v>February 2017</v>
      </c>
      <c r="E45" s="48">
        <f t="shared" si="0"/>
      </c>
      <c r="F45" s="204">
        <f t="shared" si="1"/>
      </c>
      <c r="I45" s="48">
        <f t="shared" si="2"/>
      </c>
      <c r="J45" s="204">
        <f t="shared" si="3"/>
      </c>
      <c r="M45" s="48" t="s">
        <v>545</v>
      </c>
      <c r="N45" s="204">
        <f t="shared" si="5"/>
      </c>
      <c r="O45" s="48">
        <v>9</v>
      </c>
      <c r="P45" s="48">
        <f t="shared" si="6"/>
        <v>33220</v>
      </c>
      <c r="Q45" s="48">
        <f t="shared" si="7"/>
        <v>12</v>
      </c>
      <c r="R45" s="48">
        <v>15.196</v>
      </c>
      <c r="S45" s="48">
        <f t="shared" si="8"/>
        <v>12000</v>
      </c>
      <c r="T45" s="48">
        <f t="shared" si="4"/>
        <v>450</v>
      </c>
      <c r="U45" s="48">
        <f t="shared" si="9"/>
        <v>60</v>
      </c>
      <c r="AA45" s="182">
        <v>40</v>
      </c>
      <c r="AB45" s="419">
        <v>39160</v>
      </c>
      <c r="AC45" s="419">
        <v>40270</v>
      </c>
      <c r="AD45" s="419">
        <v>41380</v>
      </c>
      <c r="AE45" s="419">
        <v>42490</v>
      </c>
      <c r="AF45" s="419">
        <v>38130</v>
      </c>
      <c r="AG45" s="419">
        <v>42490</v>
      </c>
      <c r="AH45" s="419">
        <v>42490</v>
      </c>
    </row>
    <row r="46" spans="2:34" ht="15">
      <c r="B46" s="48">
        <v>13</v>
      </c>
      <c r="E46" s="48">
        <f t="shared" si="0"/>
      </c>
      <c r="I46" s="48">
        <f t="shared" si="2"/>
      </c>
      <c r="M46" s="48" t="s">
        <v>318</v>
      </c>
      <c r="N46" s="204">
        <f t="shared" si="5"/>
      </c>
      <c r="O46" s="48">
        <v>10</v>
      </c>
      <c r="P46" s="48">
        <f t="shared" si="6"/>
        <v>33220</v>
      </c>
      <c r="Q46" s="48">
        <f t="shared" si="7"/>
        <v>12</v>
      </c>
      <c r="R46" s="48">
        <v>15.196</v>
      </c>
      <c r="S46" s="48">
        <f t="shared" si="8"/>
        <v>12000</v>
      </c>
      <c r="T46" s="48">
        <f t="shared" si="4"/>
        <v>450</v>
      </c>
      <c r="U46" s="48">
        <f t="shared" si="9"/>
        <v>60</v>
      </c>
      <c r="AA46" s="48">
        <v>41</v>
      </c>
      <c r="AB46" s="419">
        <v>40270</v>
      </c>
      <c r="AC46" s="419">
        <v>41380</v>
      </c>
      <c r="AD46" s="419">
        <v>42490</v>
      </c>
      <c r="AE46" s="419">
        <v>43680</v>
      </c>
      <c r="AF46" s="419">
        <v>39160</v>
      </c>
      <c r="AG46" s="419">
        <v>43680</v>
      </c>
      <c r="AH46" s="419">
        <v>43680</v>
      </c>
    </row>
    <row r="47" spans="2:34" ht="15">
      <c r="B47" s="48">
        <v>14</v>
      </c>
      <c r="E47" s="48">
        <f t="shared" si="0"/>
      </c>
      <c r="I47" s="48">
        <f t="shared" si="2"/>
      </c>
      <c r="M47" s="48" t="s">
        <v>319</v>
      </c>
      <c r="N47" s="204">
        <f t="shared" si="5"/>
      </c>
      <c r="O47" s="48">
        <v>11</v>
      </c>
      <c r="P47" s="48">
        <f t="shared" si="6"/>
        <v>33220</v>
      </c>
      <c r="Q47" s="48">
        <f t="shared" si="7"/>
        <v>12</v>
      </c>
      <c r="R47" s="48">
        <v>15.196</v>
      </c>
      <c r="S47" s="48">
        <f t="shared" si="8"/>
        <v>12000</v>
      </c>
      <c r="T47" s="48">
        <f t="shared" si="4"/>
        <v>450</v>
      </c>
      <c r="U47" s="48">
        <f t="shared" si="9"/>
        <v>60</v>
      </c>
      <c r="AA47" s="182">
        <v>42</v>
      </c>
      <c r="AB47" s="419">
        <v>41380</v>
      </c>
      <c r="AC47" s="419">
        <v>42490</v>
      </c>
      <c r="AD47" s="419">
        <v>43680</v>
      </c>
      <c r="AE47" s="419">
        <v>44870</v>
      </c>
      <c r="AF47" s="419">
        <v>40270</v>
      </c>
      <c r="AG47" s="419">
        <v>44870</v>
      </c>
      <c r="AH47" s="419">
        <v>44870</v>
      </c>
    </row>
    <row r="48" spans="2:34" ht="15">
      <c r="B48" s="48">
        <v>15</v>
      </c>
      <c r="E48" s="48">
        <f t="shared" si="0"/>
      </c>
      <c r="I48" s="48">
        <f t="shared" si="2"/>
      </c>
      <c r="M48" s="48" t="s">
        <v>546</v>
      </c>
      <c r="N48" s="204">
        <f t="shared" si="5"/>
      </c>
      <c r="O48" s="48">
        <v>12</v>
      </c>
      <c r="P48" s="48">
        <f t="shared" si="6"/>
        <v>33220</v>
      </c>
      <c r="Q48" s="48">
        <f t="shared" si="7"/>
        <v>12</v>
      </c>
      <c r="R48" s="48">
        <v>15.196</v>
      </c>
      <c r="S48" s="48">
        <f t="shared" si="8"/>
        <v>12000</v>
      </c>
      <c r="T48" s="48">
        <f t="shared" si="4"/>
        <v>450</v>
      </c>
      <c r="U48" s="48">
        <f t="shared" si="9"/>
        <v>60</v>
      </c>
      <c r="AA48" s="48">
        <v>43</v>
      </c>
      <c r="AB48" s="419">
        <v>42490</v>
      </c>
      <c r="AC48" s="419">
        <v>43680</v>
      </c>
      <c r="AD48" s="419">
        <v>44870</v>
      </c>
      <c r="AE48" s="419">
        <v>46060</v>
      </c>
      <c r="AF48" s="419">
        <v>41380</v>
      </c>
      <c r="AG48" s="419">
        <v>46060</v>
      </c>
      <c r="AH48" s="419">
        <v>46060</v>
      </c>
    </row>
    <row r="49" spans="2:34" ht="15">
      <c r="B49" s="48">
        <v>16</v>
      </c>
      <c r="E49" s="48">
        <f t="shared" si="0"/>
      </c>
      <c r="I49" s="48">
        <f t="shared" si="2"/>
      </c>
      <c r="AA49" s="182">
        <v>44</v>
      </c>
      <c r="AB49" s="419">
        <v>43680</v>
      </c>
      <c r="AC49" s="419">
        <v>44870</v>
      </c>
      <c r="AD49" s="419">
        <v>46060</v>
      </c>
      <c r="AE49" s="419">
        <v>47330</v>
      </c>
      <c r="AF49" s="419">
        <v>42490</v>
      </c>
      <c r="AG49" s="419">
        <v>47330</v>
      </c>
      <c r="AH49" s="419">
        <v>47330</v>
      </c>
    </row>
    <row r="50" spans="2:34" ht="15">
      <c r="B50" s="48">
        <v>17</v>
      </c>
      <c r="E50" s="48">
        <f t="shared" si="0"/>
      </c>
      <c r="I50" s="48">
        <f t="shared" si="2"/>
      </c>
      <c r="AA50" s="48">
        <v>45</v>
      </c>
      <c r="AB50" s="419">
        <v>44870</v>
      </c>
      <c r="AC50" s="419">
        <v>46060</v>
      </c>
      <c r="AD50" s="419">
        <v>47330</v>
      </c>
      <c r="AE50" s="419">
        <v>48600</v>
      </c>
      <c r="AF50" s="419">
        <v>43680</v>
      </c>
      <c r="AG50" s="419">
        <v>48600</v>
      </c>
      <c r="AH50" s="419">
        <v>48600</v>
      </c>
    </row>
    <row r="51" spans="2:34" ht="15">
      <c r="B51" s="48">
        <v>18</v>
      </c>
      <c r="E51" s="48">
        <f t="shared" si="0"/>
      </c>
      <c r="I51" s="48">
        <f t="shared" si="2"/>
      </c>
      <c r="Q51" s="48">
        <f>IF(F74=12,12,IF(F74=14.5,14.5,IF(F74=20,20,30)))</f>
        <v>12</v>
      </c>
      <c r="AA51" s="182">
        <v>46</v>
      </c>
      <c r="AB51" s="419">
        <v>46060</v>
      </c>
      <c r="AC51" s="419">
        <v>47330</v>
      </c>
      <c r="AD51" s="419">
        <v>48600</v>
      </c>
      <c r="AE51" s="419">
        <v>49870</v>
      </c>
      <c r="AF51" s="419">
        <v>44870</v>
      </c>
      <c r="AG51" s="419">
        <v>49870</v>
      </c>
      <c r="AH51" s="419">
        <v>49870</v>
      </c>
    </row>
    <row r="52" spans="2:34" ht="15" hidden="1">
      <c r="B52" s="48">
        <v>19</v>
      </c>
      <c r="E52" s="48">
        <f t="shared" si="0"/>
      </c>
      <c r="I52" s="48">
        <v>1</v>
      </c>
      <c r="J52" s="48" t="str">
        <f>VLOOKUP(I52,I53:J54,2,0)</f>
        <v>Vacation Dept</v>
      </c>
      <c r="AA52" s="48">
        <v>47</v>
      </c>
      <c r="AB52" s="419">
        <v>47330</v>
      </c>
      <c r="AC52" s="419">
        <v>48600</v>
      </c>
      <c r="AD52" s="419">
        <v>49870</v>
      </c>
      <c r="AE52" s="419">
        <v>51230</v>
      </c>
      <c r="AF52" s="419">
        <v>46060</v>
      </c>
      <c r="AG52" s="419">
        <v>51230</v>
      </c>
      <c r="AH52" s="419">
        <v>51230</v>
      </c>
    </row>
    <row r="53" spans="2:44" ht="15" hidden="1">
      <c r="B53" s="48">
        <v>20</v>
      </c>
      <c r="E53" s="48">
        <f t="shared" si="0"/>
      </c>
      <c r="I53" s="48">
        <v>1</v>
      </c>
      <c r="J53" s="48" t="s">
        <v>142</v>
      </c>
      <c r="U53" s="48" t="s">
        <v>88</v>
      </c>
      <c r="AA53" s="182">
        <v>48</v>
      </c>
      <c r="AB53" s="419">
        <v>48600</v>
      </c>
      <c r="AC53" s="419">
        <v>49870</v>
      </c>
      <c r="AD53" s="419">
        <v>51230</v>
      </c>
      <c r="AE53" s="419">
        <v>52590</v>
      </c>
      <c r="AF53" s="419">
        <v>47330</v>
      </c>
      <c r="AG53" s="419">
        <v>52590</v>
      </c>
      <c r="AH53" s="419">
        <v>52590</v>
      </c>
      <c r="AM53" s="48">
        <v>1</v>
      </c>
      <c r="AN53" s="48" t="str">
        <f>VLOOKUP(AM53,AM54:AN55,2,0)</f>
        <v>AP</v>
      </c>
      <c r="AR53" s="48">
        <f>AP5</f>
        <v>270</v>
      </c>
    </row>
    <row r="54" spans="2:40" ht="15" hidden="1">
      <c r="B54" s="48">
        <v>21</v>
      </c>
      <c r="E54" s="48">
        <f t="shared" si="0"/>
      </c>
      <c r="I54" s="48">
        <v>2</v>
      </c>
      <c r="J54" s="48" t="s">
        <v>143</v>
      </c>
      <c r="AA54" s="48">
        <v>49</v>
      </c>
      <c r="AB54" s="419">
        <v>49870</v>
      </c>
      <c r="AC54" s="419">
        <v>51230</v>
      </c>
      <c r="AD54" s="419">
        <v>52590</v>
      </c>
      <c r="AE54" s="419">
        <v>53950</v>
      </c>
      <c r="AF54" s="419">
        <v>48600</v>
      </c>
      <c r="AG54" s="419">
        <v>53950</v>
      </c>
      <c r="AH54" s="419">
        <v>53950</v>
      </c>
      <c r="AM54" s="48">
        <v>1</v>
      </c>
      <c r="AN54" s="48" t="s">
        <v>457</v>
      </c>
    </row>
    <row r="55" spans="2:40" ht="15" hidden="1">
      <c r="B55" s="48">
        <v>22</v>
      </c>
      <c r="E55" s="48">
        <f t="shared" si="0"/>
      </c>
      <c r="I55" s="48">
        <f t="shared" si="2"/>
      </c>
      <c r="AA55" s="182">
        <v>50</v>
      </c>
      <c r="AB55" s="419">
        <v>51230</v>
      </c>
      <c r="AC55" s="419">
        <v>52590</v>
      </c>
      <c r="AD55" s="419">
        <v>53950</v>
      </c>
      <c r="AE55" s="419">
        <v>55410</v>
      </c>
      <c r="AF55" s="419">
        <v>49870</v>
      </c>
      <c r="AG55" s="419">
        <v>55410</v>
      </c>
      <c r="AH55" s="419">
        <v>55410</v>
      </c>
      <c r="AM55" s="48">
        <v>2</v>
      </c>
      <c r="AN55" s="48" t="s">
        <v>458</v>
      </c>
    </row>
    <row r="56" spans="2:34" ht="15">
      <c r="B56" s="48">
        <v>23</v>
      </c>
      <c r="E56" s="48">
        <f t="shared" si="0"/>
      </c>
      <c r="I56" s="48">
        <f t="shared" si="2"/>
      </c>
      <c r="O56" s="48" t="s">
        <v>538</v>
      </c>
      <c r="AA56" s="48">
        <v>51</v>
      </c>
      <c r="AB56" s="419">
        <v>52590</v>
      </c>
      <c r="AC56" s="419">
        <v>53950</v>
      </c>
      <c r="AD56" s="419">
        <v>55410</v>
      </c>
      <c r="AE56" s="419">
        <v>56870</v>
      </c>
      <c r="AF56" s="419">
        <v>51230</v>
      </c>
      <c r="AG56" s="419">
        <v>56870</v>
      </c>
      <c r="AH56" s="419">
        <v>56870</v>
      </c>
    </row>
    <row r="57" spans="2:34" ht="15">
      <c r="B57" s="48">
        <v>24</v>
      </c>
      <c r="E57" s="48">
        <f t="shared" si="0"/>
      </c>
      <c r="I57" s="48">
        <f t="shared" si="2"/>
      </c>
      <c r="P57" s="48">
        <f>M165</f>
        <v>1</v>
      </c>
      <c r="Q57" s="48" t="str">
        <f>N165</f>
        <v>July-2015</v>
      </c>
      <c r="AA57" s="182">
        <v>52</v>
      </c>
      <c r="AB57" s="419">
        <v>53950</v>
      </c>
      <c r="AC57" s="419">
        <v>55410</v>
      </c>
      <c r="AD57" s="419">
        <v>56870</v>
      </c>
      <c r="AE57" s="419">
        <v>58330</v>
      </c>
      <c r="AF57" s="419">
        <v>52590</v>
      </c>
      <c r="AG57" s="419">
        <v>58330</v>
      </c>
      <c r="AH57" s="419">
        <v>58330</v>
      </c>
    </row>
    <row r="58" spans="2:34" ht="15">
      <c r="B58" s="48">
        <v>25</v>
      </c>
      <c r="E58" s="48">
        <f t="shared" si="0"/>
      </c>
      <c r="I58" s="48">
        <f t="shared" si="2"/>
      </c>
      <c r="P58" s="48">
        <v>1</v>
      </c>
      <c r="Q58" s="204" t="str">
        <f>"July"&amp;"-2015"</f>
        <v>July-2015</v>
      </c>
      <c r="V58" s="48">
        <f>AM53</f>
        <v>1</v>
      </c>
      <c r="AA58" s="48">
        <v>53</v>
      </c>
      <c r="AB58" s="419">
        <v>55410</v>
      </c>
      <c r="AC58" s="419">
        <v>56870</v>
      </c>
      <c r="AD58" s="419">
        <v>58330</v>
      </c>
      <c r="AE58" s="419">
        <v>59890</v>
      </c>
      <c r="AF58" s="419">
        <v>53950</v>
      </c>
      <c r="AG58" s="419">
        <v>59890</v>
      </c>
      <c r="AH58" s="419">
        <v>59890</v>
      </c>
    </row>
    <row r="59" spans="2:34" ht="15">
      <c r="B59" s="48">
        <v>26</v>
      </c>
      <c r="E59" s="48">
        <f t="shared" si="0"/>
      </c>
      <c r="I59" s="48">
        <f t="shared" si="2"/>
      </c>
      <c r="P59" s="48">
        <v>2</v>
      </c>
      <c r="Q59" s="204" t="str">
        <f>"August"&amp;"-2015"</f>
        <v>August-2015</v>
      </c>
      <c r="T59" s="48" t="s">
        <v>454</v>
      </c>
      <c r="AA59" s="182">
        <v>54</v>
      </c>
      <c r="AB59" s="419">
        <v>56870</v>
      </c>
      <c r="AC59" s="419">
        <v>58330</v>
      </c>
      <c r="AD59" s="419">
        <v>59890</v>
      </c>
      <c r="AE59" s="419">
        <v>61450</v>
      </c>
      <c r="AF59" s="419">
        <v>55410</v>
      </c>
      <c r="AG59" s="419">
        <v>61450</v>
      </c>
      <c r="AH59" s="419">
        <v>61450</v>
      </c>
    </row>
    <row r="60" spans="2:34" ht="15">
      <c r="B60" s="48">
        <v>27</v>
      </c>
      <c r="E60" s="48">
        <f t="shared" si="0"/>
      </c>
      <c r="I60" s="48">
        <f t="shared" si="2"/>
      </c>
      <c r="P60" s="48">
        <v>3</v>
      </c>
      <c r="Q60" s="204" t="str">
        <f>"September"&amp;"-2015"</f>
        <v>September-2015</v>
      </c>
      <c r="S60" s="182">
        <v>1</v>
      </c>
      <c r="T60" s="182">
        <f>VLOOKUP(S60,S61:T63,2,0)</f>
        <v>90</v>
      </c>
      <c r="AA60" s="48">
        <v>55</v>
      </c>
      <c r="AB60" s="419">
        <v>58330</v>
      </c>
      <c r="AC60" s="419">
        <v>59890</v>
      </c>
      <c r="AD60" s="419">
        <v>61450</v>
      </c>
      <c r="AE60" s="419">
        <v>63010</v>
      </c>
      <c r="AF60" s="419">
        <v>56870</v>
      </c>
      <c r="AG60" s="419">
        <v>63010</v>
      </c>
      <c r="AH60" s="419">
        <v>63010</v>
      </c>
    </row>
    <row r="61" spans="2:34" ht="15">
      <c r="B61" s="48">
        <v>28</v>
      </c>
      <c r="E61" s="48">
        <f t="shared" si="0"/>
      </c>
      <c r="I61" s="48">
        <f t="shared" si="2"/>
      </c>
      <c r="P61" s="48">
        <v>4</v>
      </c>
      <c r="Q61" s="204" t="str">
        <f>"October"&amp;"-2015"</f>
        <v>October-2015</v>
      </c>
      <c r="S61" s="48">
        <v>1</v>
      </c>
      <c r="T61" s="48">
        <f>U61</f>
        <v>90</v>
      </c>
      <c r="U61" s="48">
        <f>IF(V58=1,90,"")</f>
        <v>90</v>
      </c>
      <c r="AA61" s="182">
        <v>56</v>
      </c>
      <c r="AB61" s="419">
        <v>59890</v>
      </c>
      <c r="AC61" s="419">
        <v>61450</v>
      </c>
      <c r="AD61" s="419">
        <v>63010</v>
      </c>
      <c r="AE61" s="419">
        <v>64670</v>
      </c>
      <c r="AF61" s="419">
        <v>58330</v>
      </c>
      <c r="AG61" s="419">
        <v>64670</v>
      </c>
      <c r="AH61" s="419">
        <v>64670</v>
      </c>
    </row>
    <row r="62" spans="2:34" ht="15">
      <c r="B62" s="48">
        <v>29</v>
      </c>
      <c r="E62" s="48">
        <f t="shared" si="0"/>
      </c>
      <c r="I62" s="48">
        <f t="shared" si="2"/>
      </c>
      <c r="O62" s="48" t="s">
        <v>92</v>
      </c>
      <c r="Q62" s="48" t="s">
        <v>93</v>
      </c>
      <c r="S62" s="48">
        <v>2</v>
      </c>
      <c r="T62" s="48">
        <f>U62</f>
        <v>120</v>
      </c>
      <c r="U62" s="48">
        <f>IF(V58=1,120,"")</f>
        <v>120</v>
      </c>
      <c r="AA62" s="48">
        <v>57</v>
      </c>
      <c r="AB62" s="419">
        <v>61450</v>
      </c>
      <c r="AC62" s="419">
        <v>63010</v>
      </c>
      <c r="AD62" s="419">
        <v>64670</v>
      </c>
      <c r="AE62" s="419">
        <v>66330</v>
      </c>
      <c r="AF62" s="419">
        <v>59890</v>
      </c>
      <c r="AG62" s="419">
        <v>66330</v>
      </c>
      <c r="AH62" s="419">
        <v>66330</v>
      </c>
    </row>
    <row r="63" spans="2:34" ht="15">
      <c r="B63" s="48">
        <v>30</v>
      </c>
      <c r="E63" s="48">
        <f t="shared" si="0"/>
      </c>
      <c r="I63" s="48">
        <f t="shared" si="2"/>
      </c>
      <c r="N63" s="205" t="s">
        <v>91</v>
      </c>
      <c r="O63" s="48">
        <v>3</v>
      </c>
      <c r="P63" s="48">
        <f>VLOOKUP(O63,M64:N67,2,0)</f>
        <v>60</v>
      </c>
      <c r="Q63" s="48">
        <v>3</v>
      </c>
      <c r="R63" s="48">
        <f>VLOOKUP(Q63,M64:N67,2,0)</f>
        <v>60</v>
      </c>
      <c r="S63" s="48">
        <v>3</v>
      </c>
      <c r="T63" s="48">
        <v>0</v>
      </c>
      <c r="AA63" s="182">
        <v>58</v>
      </c>
      <c r="AB63" s="419">
        <v>63010</v>
      </c>
      <c r="AC63" s="419">
        <v>64670</v>
      </c>
      <c r="AD63" s="419">
        <v>66330</v>
      </c>
      <c r="AE63" s="419">
        <v>67990</v>
      </c>
      <c r="AF63" s="419">
        <v>61450</v>
      </c>
      <c r="AG63" s="419">
        <v>67990</v>
      </c>
      <c r="AH63" s="419">
        <v>67990</v>
      </c>
    </row>
    <row r="64" spans="2:34" ht="15">
      <c r="B64" s="48">
        <v>31</v>
      </c>
      <c r="E64" s="48">
        <f t="shared" si="0"/>
      </c>
      <c r="I64" s="48">
        <f t="shared" si="2"/>
      </c>
      <c r="M64" s="48">
        <v>1</v>
      </c>
      <c r="N64" s="48">
        <v>15</v>
      </c>
      <c r="AA64" s="48">
        <v>59</v>
      </c>
      <c r="AB64" s="419">
        <v>64670</v>
      </c>
      <c r="AC64" s="419">
        <v>66330</v>
      </c>
      <c r="AD64" s="419">
        <v>67990</v>
      </c>
      <c r="AE64" s="419">
        <v>69750</v>
      </c>
      <c r="AF64" s="419">
        <v>63010</v>
      </c>
      <c r="AG64" s="419">
        <v>69750</v>
      </c>
      <c r="AH64" s="419">
        <v>69750</v>
      </c>
    </row>
    <row r="65" spans="13:34" ht="15">
      <c r="M65" s="48">
        <v>2</v>
      </c>
      <c r="N65" s="48">
        <v>30</v>
      </c>
      <c r="AA65" s="182">
        <v>60</v>
      </c>
      <c r="AB65" s="419">
        <v>66330</v>
      </c>
      <c r="AC65" s="419">
        <v>67990</v>
      </c>
      <c r="AD65" s="419">
        <v>69750</v>
      </c>
      <c r="AE65" s="419">
        <v>71510</v>
      </c>
      <c r="AF65" s="419">
        <v>64670</v>
      </c>
      <c r="AG65" s="419">
        <v>71510</v>
      </c>
      <c r="AH65" s="419">
        <v>71510</v>
      </c>
    </row>
    <row r="66" spans="13:34" ht="15">
      <c r="M66" s="48">
        <v>3</v>
      </c>
      <c r="N66" s="48">
        <v>60</v>
      </c>
      <c r="AA66" s="48">
        <v>61</v>
      </c>
      <c r="AB66" s="419">
        <v>67990</v>
      </c>
      <c r="AC66" s="419">
        <v>69750</v>
      </c>
      <c r="AD66" s="419">
        <v>71510</v>
      </c>
      <c r="AE66" s="419">
        <v>73270</v>
      </c>
      <c r="AF66" s="419">
        <v>66330</v>
      </c>
      <c r="AG66" s="419">
        <v>73270</v>
      </c>
      <c r="AH66" s="419">
        <v>73270</v>
      </c>
    </row>
    <row r="67" spans="13:34" ht="15">
      <c r="M67" s="48">
        <v>4</v>
      </c>
      <c r="N67" s="48">
        <v>120</v>
      </c>
      <c r="AA67" s="182">
        <v>62</v>
      </c>
      <c r="AB67" s="419">
        <v>69750</v>
      </c>
      <c r="AC67" s="419">
        <v>71510</v>
      </c>
      <c r="AD67" s="419">
        <v>73270</v>
      </c>
      <c r="AE67" s="419">
        <v>75150</v>
      </c>
      <c r="AF67" s="419">
        <v>67990</v>
      </c>
      <c r="AG67" s="419">
        <v>75150</v>
      </c>
      <c r="AH67" s="419">
        <v>75150</v>
      </c>
    </row>
    <row r="68" spans="27:34" ht="15">
      <c r="AA68" s="48">
        <v>63</v>
      </c>
      <c r="AB68" s="419">
        <v>71510</v>
      </c>
      <c r="AC68" s="419">
        <v>73270</v>
      </c>
      <c r="AD68" s="419">
        <v>75150</v>
      </c>
      <c r="AE68" s="419">
        <v>77030</v>
      </c>
      <c r="AF68" s="419">
        <v>69750</v>
      </c>
      <c r="AG68" s="419">
        <v>77030</v>
      </c>
      <c r="AH68" s="419">
        <v>77030</v>
      </c>
    </row>
    <row r="69" spans="27:34" ht="15">
      <c r="AA69" s="182">
        <v>64</v>
      </c>
      <c r="AB69" s="419">
        <v>73270</v>
      </c>
      <c r="AC69" s="419">
        <v>75150</v>
      </c>
      <c r="AD69" s="419">
        <v>77030</v>
      </c>
      <c r="AE69" s="419">
        <v>78910</v>
      </c>
      <c r="AF69" s="419">
        <v>71510</v>
      </c>
      <c r="AG69" s="419">
        <v>78910</v>
      </c>
      <c r="AH69" s="419">
        <v>78910</v>
      </c>
    </row>
    <row r="70" spans="27:34" ht="15">
      <c r="AA70" s="48">
        <v>65</v>
      </c>
      <c r="AB70" s="419">
        <v>75150</v>
      </c>
      <c r="AC70" s="419">
        <v>77030</v>
      </c>
      <c r="AD70" s="419">
        <v>78910</v>
      </c>
      <c r="AE70" s="419">
        <v>80930</v>
      </c>
      <c r="AF70" s="419">
        <v>73270</v>
      </c>
      <c r="AG70" s="419">
        <v>80930</v>
      </c>
      <c r="AH70" s="419">
        <v>80930</v>
      </c>
    </row>
    <row r="71" spans="6:34" ht="15">
      <c r="F71" s="206">
        <f>IF(F74=12,12,IF(F74=14.5,14.5,IF(F74=20,20,30)))</f>
        <v>12</v>
      </c>
      <c r="AA71" s="182">
        <v>66</v>
      </c>
      <c r="AB71" s="419">
        <v>77030</v>
      </c>
      <c r="AC71" s="419">
        <v>78910</v>
      </c>
      <c r="AD71" s="419">
        <v>80930</v>
      </c>
      <c r="AE71" s="419">
        <v>82950</v>
      </c>
      <c r="AF71" s="419">
        <v>75150</v>
      </c>
      <c r="AG71" s="419">
        <v>82950</v>
      </c>
      <c r="AH71" s="419">
        <v>82950</v>
      </c>
    </row>
    <row r="72" spans="27:34" ht="15">
      <c r="AA72" s="48">
        <v>67</v>
      </c>
      <c r="AB72" s="419">
        <v>78910</v>
      </c>
      <c r="AC72" s="419">
        <v>80930</v>
      </c>
      <c r="AD72" s="419">
        <v>82950</v>
      </c>
      <c r="AE72" s="419">
        <v>84970</v>
      </c>
      <c r="AF72" s="419">
        <v>77030</v>
      </c>
      <c r="AG72" s="419">
        <v>84970</v>
      </c>
      <c r="AH72" s="419">
        <v>84970</v>
      </c>
    </row>
    <row r="73" spans="5:34" ht="15">
      <c r="E73" s="182"/>
      <c r="F73" s="182" t="s">
        <v>14</v>
      </c>
      <c r="G73" s="182" t="s">
        <v>15</v>
      </c>
      <c r="H73" s="182"/>
      <c r="I73" s="207" t="s">
        <v>11</v>
      </c>
      <c r="J73" s="207"/>
      <c r="O73" s="510" t="s">
        <v>26</v>
      </c>
      <c r="P73" s="510"/>
      <c r="Q73" s="48" t="s">
        <v>42</v>
      </c>
      <c r="S73" s="48" t="s">
        <v>68</v>
      </c>
      <c r="U73" s="48" t="s">
        <v>47</v>
      </c>
      <c r="W73" s="48" t="s">
        <v>90</v>
      </c>
      <c r="AA73" s="182">
        <v>68</v>
      </c>
      <c r="AB73" s="419">
        <v>80930</v>
      </c>
      <c r="AC73" s="419">
        <v>82950</v>
      </c>
      <c r="AD73" s="419">
        <v>84970</v>
      </c>
      <c r="AE73" s="419">
        <v>89130</v>
      </c>
      <c r="AF73" s="419">
        <v>78910</v>
      </c>
      <c r="AG73" s="419">
        <v>89130</v>
      </c>
      <c r="AH73" s="419">
        <v>89130</v>
      </c>
    </row>
    <row r="74" spans="5:34" ht="15">
      <c r="E74" s="208">
        <v>1</v>
      </c>
      <c r="F74" s="208">
        <f>VLOOKUP(E74,B76:F79,5,0)</f>
        <v>12</v>
      </c>
      <c r="G74" s="207">
        <v>2</v>
      </c>
      <c r="H74" s="207">
        <f>VLOOKUP(G74,B76:F79,5,0)</f>
        <v>14.5</v>
      </c>
      <c r="I74" s="209">
        <v>1</v>
      </c>
      <c r="J74" s="209" t="str">
        <f>VLOOKUP(I74-1,I75:J87,2,0)</f>
        <v>No Change</v>
      </c>
      <c r="L74" s="48">
        <f>VLOOKUP(G74,B76:F79,5,0)</f>
        <v>14.5</v>
      </c>
      <c r="M74" s="182">
        <v>1</v>
      </c>
      <c r="N74" s="182" t="str">
        <f>VLOOKUP(M74,M75:N76,2,0)</f>
        <v>Male</v>
      </c>
      <c r="O74" s="182">
        <v>2</v>
      </c>
      <c r="P74" s="182" t="str">
        <f>VLOOKUP(O74,M75:O76,3,0)</f>
        <v>NO</v>
      </c>
      <c r="Q74" s="203">
        <v>1</v>
      </c>
      <c r="R74" s="203" t="str">
        <f>VLOOKUP(Q74,M75:Q77,5,0)</f>
        <v>ZPPF</v>
      </c>
      <c r="S74" s="203">
        <v>1</v>
      </c>
      <c r="T74" s="203" t="str">
        <f>VLOOKUP(S74-1,S75:T86,2,0)</f>
        <v>No Change</v>
      </c>
      <c r="U74" s="210">
        <v>1</v>
      </c>
      <c r="V74" s="210" t="str">
        <f>VLOOKUP(U74-1,S75:T87,2,0)</f>
        <v>No Change</v>
      </c>
      <c r="W74" s="182">
        <v>1</v>
      </c>
      <c r="X74" s="182" t="str">
        <f>VLOOKUP(W74-1,S75:T87,2,0)</f>
        <v>No Change</v>
      </c>
      <c r="AA74" s="48">
        <v>69</v>
      </c>
      <c r="AB74" s="419">
        <v>82950</v>
      </c>
      <c r="AC74" s="419">
        <v>84970</v>
      </c>
      <c r="AD74" s="419">
        <v>89130</v>
      </c>
      <c r="AE74" s="419">
        <v>89130</v>
      </c>
      <c r="AF74" s="419">
        <v>80930</v>
      </c>
      <c r="AG74" s="419">
        <v>89130</v>
      </c>
      <c r="AH74" s="419">
        <v>89130</v>
      </c>
    </row>
    <row r="75" spans="2:34" ht="15">
      <c r="B75" s="48" t="s">
        <v>10</v>
      </c>
      <c r="C75" s="48" t="s">
        <v>11</v>
      </c>
      <c r="D75" s="48" t="s">
        <v>7</v>
      </c>
      <c r="F75" s="211" t="s">
        <v>12</v>
      </c>
      <c r="I75" s="48">
        <v>0</v>
      </c>
      <c r="J75" s="48" t="s">
        <v>16</v>
      </c>
      <c r="M75" s="48">
        <v>1</v>
      </c>
      <c r="N75" s="48" t="s">
        <v>32</v>
      </c>
      <c r="O75" s="48" t="s">
        <v>40</v>
      </c>
      <c r="Q75" s="48" t="s">
        <v>43</v>
      </c>
      <c r="S75" s="48">
        <v>0</v>
      </c>
      <c r="T75" s="48" t="s">
        <v>16</v>
      </c>
      <c r="AA75" s="182">
        <v>70</v>
      </c>
      <c r="AB75" s="419">
        <v>84970</v>
      </c>
      <c r="AC75" s="419">
        <v>89130</v>
      </c>
      <c r="AD75" s="419">
        <v>89130</v>
      </c>
      <c r="AE75" s="419">
        <v>91450</v>
      </c>
      <c r="AF75" s="419">
        <v>82950</v>
      </c>
      <c r="AG75" s="419">
        <v>91450</v>
      </c>
      <c r="AH75" s="419">
        <v>91450</v>
      </c>
    </row>
    <row r="76" spans="2:34" ht="15">
      <c r="B76" s="48">
        <v>1</v>
      </c>
      <c r="C76" s="212">
        <v>42430</v>
      </c>
      <c r="F76" s="48">
        <v>12</v>
      </c>
      <c r="I76" s="48">
        <v>1</v>
      </c>
      <c r="J76" s="204" t="s">
        <v>54</v>
      </c>
      <c r="M76" s="48">
        <v>2</v>
      </c>
      <c r="N76" s="48" t="s">
        <v>33</v>
      </c>
      <c r="O76" s="48" t="s">
        <v>41</v>
      </c>
      <c r="Q76" s="48" t="s">
        <v>44</v>
      </c>
      <c r="S76" s="48">
        <v>1</v>
      </c>
      <c r="T76" s="204" t="s">
        <v>54</v>
      </c>
      <c r="AA76" s="48">
        <v>71</v>
      </c>
      <c r="AB76" s="419">
        <v>89130</v>
      </c>
      <c r="AC76" s="419">
        <v>89130</v>
      </c>
      <c r="AD76" s="419">
        <v>91450</v>
      </c>
      <c r="AE76" s="419">
        <v>93780</v>
      </c>
      <c r="AF76" s="419">
        <v>84970</v>
      </c>
      <c r="AG76" s="419">
        <v>93780</v>
      </c>
      <c r="AH76" s="419">
        <v>93780</v>
      </c>
    </row>
    <row r="77" spans="2:34" ht="15">
      <c r="B77" s="48">
        <v>2</v>
      </c>
      <c r="C77" s="212">
        <v>42461</v>
      </c>
      <c r="F77" s="48">
        <v>14.5</v>
      </c>
      <c r="I77" s="48">
        <v>2</v>
      </c>
      <c r="J77" s="204" t="s">
        <v>55</v>
      </c>
      <c r="M77" s="48">
        <v>3</v>
      </c>
      <c r="Q77" s="48" t="s">
        <v>45</v>
      </c>
      <c r="S77" s="48">
        <v>2</v>
      </c>
      <c r="T77" s="204" t="s">
        <v>55</v>
      </c>
      <c r="AA77" s="182">
        <v>72</v>
      </c>
      <c r="AB77" s="419">
        <v>89130</v>
      </c>
      <c r="AC77" s="419">
        <v>91450</v>
      </c>
      <c r="AD77" s="419">
        <v>93780</v>
      </c>
      <c r="AE77" s="419">
        <v>96110</v>
      </c>
      <c r="AF77" s="419">
        <v>89130</v>
      </c>
      <c r="AG77" s="419">
        <v>96110</v>
      </c>
      <c r="AH77" s="419">
        <v>96110</v>
      </c>
    </row>
    <row r="78" spans="2:34" ht="15">
      <c r="B78" s="48">
        <v>3</v>
      </c>
      <c r="C78" s="212">
        <v>42491</v>
      </c>
      <c r="F78" s="48">
        <v>20</v>
      </c>
      <c r="I78" s="48">
        <v>3</v>
      </c>
      <c r="J78" s="204" t="s">
        <v>440</v>
      </c>
      <c r="S78" s="48">
        <v>3</v>
      </c>
      <c r="T78" s="204" t="s">
        <v>440</v>
      </c>
      <c r="AA78" s="48">
        <v>73</v>
      </c>
      <c r="AB78" s="419">
        <v>91450</v>
      </c>
      <c r="AC78" s="419">
        <v>93780</v>
      </c>
      <c r="AD78" s="419">
        <v>96110</v>
      </c>
      <c r="AE78" s="419">
        <v>98440</v>
      </c>
      <c r="AF78" s="419">
        <v>89130</v>
      </c>
      <c r="AG78" s="419">
        <v>98440</v>
      </c>
      <c r="AH78" s="419">
        <v>98440</v>
      </c>
    </row>
    <row r="79" spans="2:34" ht="15">
      <c r="B79" s="48">
        <v>4</v>
      </c>
      <c r="C79" s="212">
        <v>42522</v>
      </c>
      <c r="F79" s="48">
        <v>30</v>
      </c>
      <c r="I79" s="48">
        <v>4</v>
      </c>
      <c r="J79" s="204" t="s">
        <v>441</v>
      </c>
      <c r="S79" s="48">
        <v>4</v>
      </c>
      <c r="T79" s="204" t="s">
        <v>441</v>
      </c>
      <c r="AA79" s="182">
        <v>74</v>
      </c>
      <c r="AB79" s="419">
        <v>93780</v>
      </c>
      <c r="AC79" s="419">
        <v>96110</v>
      </c>
      <c r="AD79" s="419">
        <v>98440</v>
      </c>
      <c r="AE79" s="419">
        <v>100770</v>
      </c>
      <c r="AF79" s="419">
        <v>91450</v>
      </c>
      <c r="AG79" s="419">
        <v>100770</v>
      </c>
      <c r="AH79" s="419">
        <v>100770</v>
      </c>
    </row>
    <row r="80" spans="2:34" ht="15">
      <c r="B80" s="48">
        <v>5</v>
      </c>
      <c r="C80" s="212">
        <v>42552</v>
      </c>
      <c r="I80" s="48">
        <v>5</v>
      </c>
      <c r="J80" s="204" t="s">
        <v>58</v>
      </c>
      <c r="S80" s="48">
        <v>5</v>
      </c>
      <c r="T80" s="204" t="s">
        <v>58</v>
      </c>
      <c r="AA80" s="48">
        <v>75</v>
      </c>
      <c r="AB80" s="419">
        <v>96110</v>
      </c>
      <c r="AC80" s="419">
        <v>98440</v>
      </c>
      <c r="AD80" s="419">
        <v>100770</v>
      </c>
      <c r="AE80" s="419">
        <v>103290</v>
      </c>
      <c r="AF80" s="419">
        <v>93780</v>
      </c>
      <c r="AG80" s="419">
        <v>103290</v>
      </c>
      <c r="AH80" s="419">
        <v>103290</v>
      </c>
    </row>
    <row r="81" spans="2:34" ht="15">
      <c r="B81" s="48">
        <v>6</v>
      </c>
      <c r="C81" s="212">
        <v>42583</v>
      </c>
      <c r="I81" s="48">
        <v>6</v>
      </c>
      <c r="J81" s="204" t="s">
        <v>442</v>
      </c>
      <c r="S81" s="48">
        <v>6</v>
      </c>
      <c r="T81" s="204" t="s">
        <v>442</v>
      </c>
      <c r="AA81" s="182">
        <v>76</v>
      </c>
      <c r="AB81" s="419">
        <v>98440</v>
      </c>
      <c r="AC81" s="419">
        <v>100770</v>
      </c>
      <c r="AD81" s="419">
        <v>103290</v>
      </c>
      <c r="AE81" s="419">
        <v>105810</v>
      </c>
      <c r="AF81" s="419">
        <v>96110</v>
      </c>
      <c r="AG81" s="419">
        <v>105810</v>
      </c>
      <c r="AH81" s="419">
        <v>105810</v>
      </c>
    </row>
    <row r="82" spans="2:34" ht="15">
      <c r="B82" s="48">
        <v>7</v>
      </c>
      <c r="C82" s="212">
        <v>42614</v>
      </c>
      <c r="I82" s="48">
        <v>7</v>
      </c>
      <c r="J82" s="204" t="s">
        <v>443</v>
      </c>
      <c r="S82" s="48">
        <v>7</v>
      </c>
      <c r="T82" s="204" t="s">
        <v>443</v>
      </c>
      <c r="AA82" s="48">
        <v>77</v>
      </c>
      <c r="AB82" s="419">
        <v>100770</v>
      </c>
      <c r="AC82" s="419">
        <v>103290</v>
      </c>
      <c r="AD82" s="419">
        <v>105810</v>
      </c>
      <c r="AE82" s="419">
        <v>108330</v>
      </c>
      <c r="AF82" s="419">
        <v>98440</v>
      </c>
      <c r="AG82" s="419">
        <v>108330</v>
      </c>
      <c r="AH82" s="419">
        <v>108330</v>
      </c>
    </row>
    <row r="83" spans="2:34" ht="15">
      <c r="B83" s="48">
        <v>8</v>
      </c>
      <c r="C83" s="212">
        <v>42644</v>
      </c>
      <c r="I83" s="48">
        <v>8</v>
      </c>
      <c r="J83" s="204" t="s">
        <v>444</v>
      </c>
      <c r="S83" s="48">
        <v>8</v>
      </c>
      <c r="T83" s="204" t="s">
        <v>444</v>
      </c>
      <c r="AA83" s="182">
        <v>78</v>
      </c>
      <c r="AB83" s="419">
        <v>103290</v>
      </c>
      <c r="AC83" s="419">
        <v>105810</v>
      </c>
      <c r="AD83" s="419">
        <v>108330</v>
      </c>
      <c r="AE83" s="419">
        <v>110850</v>
      </c>
      <c r="AF83" s="419">
        <v>100770</v>
      </c>
      <c r="AG83" s="419">
        <v>110850</v>
      </c>
      <c r="AH83" s="419">
        <v>110850</v>
      </c>
    </row>
    <row r="84" spans="2:34" ht="15">
      <c r="B84" s="48">
        <v>9</v>
      </c>
      <c r="C84" s="212">
        <v>42675</v>
      </c>
      <c r="I84" s="48">
        <v>9</v>
      </c>
      <c r="J84" s="204" t="s">
        <v>445</v>
      </c>
      <c r="S84" s="48">
        <v>9</v>
      </c>
      <c r="T84" s="204" t="s">
        <v>445</v>
      </c>
      <c r="AA84" s="48">
        <v>79</v>
      </c>
      <c r="AB84" s="419">
        <v>105810</v>
      </c>
      <c r="AC84" s="419">
        <v>108330</v>
      </c>
      <c r="AD84" s="419">
        <v>110850</v>
      </c>
      <c r="AF84" s="419">
        <v>103290</v>
      </c>
      <c r="AG84" s="194"/>
      <c r="AH84" s="194"/>
    </row>
    <row r="85" spans="2:34" ht="15">
      <c r="B85" s="48">
        <v>10</v>
      </c>
      <c r="C85" s="212">
        <v>42705</v>
      </c>
      <c r="I85" s="48">
        <v>10</v>
      </c>
      <c r="J85" s="204" t="s">
        <v>446</v>
      </c>
      <c r="S85" s="48">
        <v>10</v>
      </c>
      <c r="T85" s="204" t="s">
        <v>446</v>
      </c>
      <c r="AA85" s="182">
        <v>80</v>
      </c>
      <c r="AB85" s="419">
        <v>108330</v>
      </c>
      <c r="AC85" s="419">
        <v>110850</v>
      </c>
      <c r="AF85" s="419">
        <v>105810</v>
      </c>
      <c r="AG85" s="194"/>
      <c r="AH85" s="418"/>
    </row>
    <row r="86" spans="2:34" ht="15">
      <c r="B86" s="48">
        <v>11</v>
      </c>
      <c r="C86" s="212">
        <v>42736</v>
      </c>
      <c r="I86" s="48">
        <v>11</v>
      </c>
      <c r="J86" s="204" t="s">
        <v>447</v>
      </c>
      <c r="S86" s="48">
        <v>11</v>
      </c>
      <c r="T86" s="204" t="s">
        <v>447</v>
      </c>
      <c r="AA86" s="48">
        <v>81</v>
      </c>
      <c r="AB86" s="419">
        <v>110850</v>
      </c>
      <c r="AF86" s="419">
        <v>108330</v>
      </c>
      <c r="AG86" s="418"/>
      <c r="AH86" s="418"/>
    </row>
    <row r="87" spans="2:34" ht="15">
      <c r="B87" s="48">
        <v>12</v>
      </c>
      <c r="C87" s="212">
        <v>42767</v>
      </c>
      <c r="I87" s="48">
        <v>12</v>
      </c>
      <c r="J87" s="204" t="s">
        <v>448</v>
      </c>
      <c r="S87" s="48">
        <v>12</v>
      </c>
      <c r="T87" s="204" t="s">
        <v>448</v>
      </c>
      <c r="AF87" s="419">
        <v>110850</v>
      </c>
      <c r="AG87" s="194"/>
      <c r="AH87" s="418"/>
    </row>
    <row r="88" spans="13:34" ht="15">
      <c r="M88" s="182">
        <v>15.196</v>
      </c>
      <c r="N88" s="182">
        <v>12.052</v>
      </c>
      <c r="AG88" s="418"/>
      <c r="AH88" s="418"/>
    </row>
    <row r="89" spans="33:34" ht="15">
      <c r="AG89" s="418"/>
      <c r="AH89" s="418"/>
    </row>
    <row r="90" spans="33:34" ht="15">
      <c r="AG90" s="418"/>
      <c r="AH90" s="418"/>
    </row>
    <row r="91" spans="2:34" ht="15">
      <c r="B91" s="213">
        <v>1</v>
      </c>
      <c r="C91" s="214" t="s">
        <v>261</v>
      </c>
      <c r="M91" s="48" t="s">
        <v>57</v>
      </c>
      <c r="N91" s="48" t="s">
        <v>56</v>
      </c>
      <c r="O91" s="48" t="s">
        <v>63</v>
      </c>
      <c r="AG91" s="418"/>
      <c r="AH91" s="418"/>
    </row>
    <row r="92" spans="2:34" ht="15">
      <c r="B92" s="213">
        <v>2</v>
      </c>
      <c r="C92" s="214" t="s">
        <v>260</v>
      </c>
      <c r="I92" s="48" t="s">
        <v>86</v>
      </c>
      <c r="J92" s="48">
        <f>IF(B33=11,VLOOKUP(Q32,AB6:AF81,5,0),IF(B33=12,Q32,Q32))</f>
        <v>32340</v>
      </c>
      <c r="M92" s="48">
        <f>ROUND(J92*$M$88%,0)</f>
        <v>4914</v>
      </c>
      <c r="N92" s="48">
        <f>ROUND(J92*N$88%,0)</f>
        <v>3898</v>
      </c>
      <c r="O92" s="48">
        <f>M92-N92</f>
        <v>1016</v>
      </c>
      <c r="AG92" s="418"/>
      <c r="AH92" s="418"/>
    </row>
    <row r="93" spans="2:34" ht="15">
      <c r="B93" s="213">
        <v>3</v>
      </c>
      <c r="C93" s="214" t="s">
        <v>48</v>
      </c>
      <c r="I93" s="48" t="s">
        <v>312</v>
      </c>
      <c r="J93" s="48">
        <f>IF(B33=12,VLOOKUP(Q32,AB6:AF81,5,0),Q32)</f>
        <v>32340</v>
      </c>
      <c r="M93" s="48">
        <f>ROUND(J93*$M$88%,0)</f>
        <v>4914</v>
      </c>
      <c r="N93" s="48">
        <f>ROUND(J93*N$88%,0)</f>
        <v>3898</v>
      </c>
      <c r="O93" s="48">
        <f>M93-N93</f>
        <v>1016</v>
      </c>
      <c r="T93" s="48">
        <v>1</v>
      </c>
      <c r="U93" s="48" t="str">
        <f>VLOOKUP(T93,T94:U95,2,0)</f>
        <v>Rented</v>
      </c>
      <c r="AG93" s="418"/>
      <c r="AH93" s="418"/>
    </row>
    <row r="94" spans="2:34" ht="15">
      <c r="B94" s="213">
        <v>4</v>
      </c>
      <c r="C94" s="214" t="s">
        <v>132</v>
      </c>
      <c r="I94" s="48" t="s">
        <v>54</v>
      </c>
      <c r="J94" s="48">
        <f>'Salary Details'!C4</f>
        <v>32340</v>
      </c>
      <c r="M94" s="48">
        <f>ROUND(J94*$M$88%,0)</f>
        <v>4914</v>
      </c>
      <c r="N94" s="48">
        <f>ROUND(J94*N$88%,0)</f>
        <v>3898</v>
      </c>
      <c r="O94" s="48">
        <f>M94-N94</f>
        <v>1016</v>
      </c>
      <c r="T94" s="48">
        <v>1</v>
      </c>
      <c r="U94" s="48" t="s">
        <v>138</v>
      </c>
      <c r="AG94" s="418"/>
      <c r="AH94" s="418"/>
    </row>
    <row r="95" spans="2:34" ht="15">
      <c r="B95" s="213">
        <v>5</v>
      </c>
      <c r="C95" s="214" t="s">
        <v>49</v>
      </c>
      <c r="I95" s="48" t="s">
        <v>55</v>
      </c>
      <c r="J95" s="48">
        <f>'Salary Details'!C5</f>
        <v>32340</v>
      </c>
      <c r="M95" s="48">
        <f>ROUND(J95*$M$88%,0)</f>
        <v>4914</v>
      </c>
      <c r="N95" s="48">
        <f>ROUND(J95*N$88%,0)</f>
        <v>3898</v>
      </c>
      <c r="O95" s="48">
        <f>M95-N95</f>
        <v>1016</v>
      </c>
      <c r="T95" s="48">
        <v>2</v>
      </c>
      <c r="U95" s="48" t="s">
        <v>137</v>
      </c>
      <c r="AG95" s="418"/>
      <c r="AH95" s="418"/>
    </row>
    <row r="96" spans="2:34" ht="15">
      <c r="B96" s="213">
        <v>6</v>
      </c>
      <c r="C96" s="214" t="s">
        <v>50</v>
      </c>
      <c r="M96" s="182">
        <v>77.896</v>
      </c>
      <c r="N96" s="182">
        <v>71.904</v>
      </c>
      <c r="O96" s="211">
        <f>SUM(O92:O95)+O97</f>
        <v>4064</v>
      </c>
      <c r="AG96" s="418"/>
      <c r="AH96" s="418"/>
    </row>
    <row r="97" spans="2:34" ht="15">
      <c r="B97" s="213">
        <v>7</v>
      </c>
      <c r="C97" s="214" t="s">
        <v>51</v>
      </c>
      <c r="I97" s="48" t="s">
        <v>139</v>
      </c>
      <c r="J97" s="48">
        <f>IF(B109&lt;5,E109,0)</f>
        <v>0</v>
      </c>
      <c r="M97" s="48">
        <f>ROUND(J97*29.96%,0)</f>
        <v>0</v>
      </c>
      <c r="N97" s="48">
        <f>ROUND(J97*24.824%,0)</f>
        <v>0</v>
      </c>
      <c r="O97" s="48">
        <f aca="true" t="shared" si="10" ref="O97:O102">M97-N97</f>
        <v>0</v>
      </c>
      <c r="AG97" s="418"/>
      <c r="AH97" s="418"/>
    </row>
    <row r="98" spans="2:34" ht="15">
      <c r="B98" s="213">
        <v>8</v>
      </c>
      <c r="C98" s="214" t="s">
        <v>52</v>
      </c>
      <c r="I98" s="48" t="s">
        <v>58</v>
      </c>
      <c r="J98" s="48">
        <f>'Salary Details'!C8</f>
        <v>32340</v>
      </c>
      <c r="M98" s="48">
        <f>ROUND(J98*M$96%,0)</f>
        <v>25192</v>
      </c>
      <c r="N98" s="48">
        <f>ROUND(J98*N$96%,0)</f>
        <v>23254</v>
      </c>
      <c r="O98" s="48">
        <f t="shared" si="10"/>
        <v>1938</v>
      </c>
      <c r="P98" s="48" t="s">
        <v>318</v>
      </c>
      <c r="Q98" s="48">
        <f>'Salary Details'!C13</f>
        <v>33220</v>
      </c>
      <c r="R98" s="48">
        <f>ROUND(Q98*77.896%,0)-ROUND(Q98*71.904%,0)</f>
        <v>1990</v>
      </c>
      <c r="AG98" s="418"/>
      <c r="AH98" s="418"/>
    </row>
    <row r="99" spans="2:34" ht="15">
      <c r="B99" s="213">
        <v>9</v>
      </c>
      <c r="C99" s="214" t="s">
        <v>262</v>
      </c>
      <c r="I99" s="48" t="s">
        <v>59</v>
      </c>
      <c r="J99" s="48">
        <f>'Salary Details'!C9</f>
        <v>32340</v>
      </c>
      <c r="M99" s="48">
        <f>ROUND(J99*M$96%,0)</f>
        <v>25192</v>
      </c>
      <c r="N99" s="48">
        <f>ROUND(J99*N$96%,0)</f>
        <v>23254</v>
      </c>
      <c r="O99" s="48">
        <f t="shared" si="10"/>
        <v>1938</v>
      </c>
      <c r="P99" s="48" t="s">
        <v>319</v>
      </c>
      <c r="Q99" s="48">
        <f>'Salary Details'!C14</f>
        <v>33220</v>
      </c>
      <c r="R99" s="48">
        <f>ROUND(Q99*77.896%,0)-ROUND(Q99*71.904%,0)</f>
        <v>1990</v>
      </c>
      <c r="AG99" s="418"/>
      <c r="AH99" s="418"/>
    </row>
    <row r="100" spans="9:34" ht="15">
      <c r="I100" s="48" t="s">
        <v>60</v>
      </c>
      <c r="J100" s="48">
        <f>'Salary Details'!C10</f>
        <v>32340</v>
      </c>
      <c r="M100" s="48">
        <f>ROUND(J100*M$96%,0)</f>
        <v>25192</v>
      </c>
      <c r="N100" s="48">
        <f>ROUND(J100*N$96%,0)</f>
        <v>23254</v>
      </c>
      <c r="O100" s="48">
        <f t="shared" si="10"/>
        <v>1938</v>
      </c>
      <c r="P100" s="48" t="s">
        <v>320</v>
      </c>
      <c r="R100" s="302">
        <f>R99+R98+O102</f>
        <v>3980</v>
      </c>
      <c r="AG100" s="418"/>
      <c r="AH100" s="418"/>
    </row>
    <row r="101" spans="2:34" ht="15">
      <c r="B101" s="213">
        <v>5</v>
      </c>
      <c r="C101" s="48" t="str">
        <f aca="true" t="shared" si="11" ref="C101:C107">VLOOKUP(B101,$B$91:$D$99,2,0)</f>
        <v>PLI Annual Premuim</v>
      </c>
      <c r="I101" s="48" t="s">
        <v>61</v>
      </c>
      <c r="M101" s="48">
        <f>ROUND(J101*47.936%,0)</f>
        <v>0</v>
      </c>
      <c r="N101" s="48">
        <f>ROUND(J101*41.944%,0)</f>
        <v>0</v>
      </c>
      <c r="O101" s="48">
        <f t="shared" si="10"/>
        <v>0</v>
      </c>
      <c r="Q101" s="48" t="s">
        <v>163</v>
      </c>
      <c r="R101" s="304">
        <f>R100+O103</f>
        <v>9794</v>
      </c>
      <c r="AG101" s="418"/>
      <c r="AH101" s="418"/>
    </row>
    <row r="102" spans="2:34" ht="15">
      <c r="B102" s="213">
        <v>1</v>
      </c>
      <c r="C102" s="48" t="str">
        <f t="shared" si="11"/>
        <v>Tution Fee for 2 Chidren</v>
      </c>
      <c r="I102" s="48" t="s">
        <v>62</v>
      </c>
      <c r="M102" s="48">
        <f>ROUND(J102*47.936%,0)</f>
        <v>0</v>
      </c>
      <c r="N102" s="48">
        <f>ROUND(J102*41.944%,0)</f>
        <v>0</v>
      </c>
      <c r="O102" s="48">
        <f t="shared" si="10"/>
        <v>0</v>
      </c>
      <c r="AG102" s="418"/>
      <c r="AH102" s="418"/>
    </row>
    <row r="103" spans="2:34" ht="15">
      <c r="B103" s="213">
        <v>4</v>
      </c>
      <c r="C103" s="48" t="str">
        <f t="shared" si="11"/>
        <v>LIC Annual Premiums </v>
      </c>
      <c r="I103" s="48" t="s">
        <v>139</v>
      </c>
      <c r="J103" s="48">
        <f>IF(AND(B109&gt;9,B109&lt;=19),E109,0)</f>
        <v>0</v>
      </c>
      <c r="M103" s="48">
        <f>ROUND(J103*35.952%,0)</f>
        <v>0</v>
      </c>
      <c r="N103" s="48">
        <f>ROUND(J103*29.96%,0)</f>
        <v>0</v>
      </c>
      <c r="O103" s="301">
        <f>SUM(O98:O101)</f>
        <v>5814</v>
      </c>
      <c r="AG103" s="418"/>
      <c r="AH103" s="418"/>
    </row>
    <row r="104" spans="2:34" ht="15">
      <c r="B104" s="213">
        <v>2</v>
      </c>
      <c r="C104" s="48" t="str">
        <f t="shared" si="11"/>
        <v>Repayment of Home Loan Premium</v>
      </c>
      <c r="N104" s="48">
        <f>M103-N103</f>
        <v>0</v>
      </c>
      <c r="AG104" s="418"/>
      <c r="AH104" s="418"/>
    </row>
    <row r="105" spans="2:34" ht="15">
      <c r="B105" s="213">
        <v>7</v>
      </c>
      <c r="C105" s="48" t="str">
        <f t="shared" si="11"/>
        <v>5 Years Fixed Deposits </v>
      </c>
      <c r="AG105" s="418"/>
      <c r="AH105" s="418"/>
    </row>
    <row r="106" spans="2:34" ht="15">
      <c r="B106" s="213">
        <v>2</v>
      </c>
      <c r="C106" s="48" t="str">
        <f t="shared" si="11"/>
        <v>Repayment of Home Loan Premium</v>
      </c>
      <c r="Q106" s="48" t="e">
        <f>MONTH(Q108)</f>
        <v>#VALUE!</v>
      </c>
      <c r="AG106" s="418"/>
      <c r="AH106" s="418"/>
    </row>
    <row r="107" spans="2:34" ht="15">
      <c r="B107" s="211">
        <v>9</v>
      </c>
      <c r="C107" s="48" t="str">
        <f t="shared" si="11"/>
        <v>Others U/s 80 C</v>
      </c>
      <c r="AG107" s="418"/>
      <c r="AH107" s="418"/>
    </row>
    <row r="108" spans="5:34" ht="15">
      <c r="E108" s="48" t="s">
        <v>13</v>
      </c>
      <c r="F108" s="48" t="s">
        <v>17</v>
      </c>
      <c r="G108" s="48" t="s">
        <v>12</v>
      </c>
      <c r="I108" s="510" t="s">
        <v>1</v>
      </c>
      <c r="J108" s="510"/>
      <c r="K108" s="510"/>
      <c r="L108" s="510"/>
      <c r="M108" s="510"/>
      <c r="N108" s="510"/>
      <c r="O108" s="510"/>
      <c r="P108" s="510"/>
      <c r="Q108" s="48">
        <f>F32</f>
      </c>
      <c r="S108" s="211" t="s">
        <v>69</v>
      </c>
      <c r="T108" s="48" t="s">
        <v>70</v>
      </c>
      <c r="V108" s="48" t="s">
        <v>140</v>
      </c>
      <c r="AG108" s="418"/>
      <c r="AH108" s="418"/>
    </row>
    <row r="109" spans="2:34" ht="15">
      <c r="B109" s="213">
        <v>1</v>
      </c>
      <c r="C109" s="211" t="str">
        <f>VLOOKUP(B109,B110:D134,2,0)</f>
        <v>Not Availed</v>
      </c>
      <c r="E109" s="211">
        <f>VLOOKUP(B109,B110:G134,4,0)</f>
        <v>0</v>
      </c>
      <c r="F109" s="211">
        <f>VLOOKUP(B109,B110:G134,5,0)</f>
        <v>0</v>
      </c>
      <c r="G109" s="211">
        <f>VLOOKUP(B109,B110:G134,6,0)</f>
        <v>0</v>
      </c>
      <c r="I109" s="48">
        <v>1</v>
      </c>
      <c r="J109" s="204">
        <f>F34</f>
      </c>
      <c r="M109" s="215">
        <v>42430</v>
      </c>
      <c r="N109" s="215">
        <f>M110-1</f>
        <v>42460</v>
      </c>
      <c r="O109" s="216">
        <f>DAY(M109)</f>
        <v>1</v>
      </c>
      <c r="P109" s="48">
        <f>DAY(N109)</f>
        <v>31</v>
      </c>
      <c r="Q109" s="211">
        <f>VLOOKUP(F32,J109:P120,7,0)</f>
        <v>31</v>
      </c>
      <c r="R109" s="211">
        <f>E33</f>
        <v>17</v>
      </c>
      <c r="S109" s="211">
        <f>Q109-R109</f>
        <v>14</v>
      </c>
      <c r="T109" s="48" t="e">
        <f>CONCATENATE(R109," - ",Q109,"/",MONTH(Q108),"/",YEAR(Q108))</f>
        <v>#VALUE!</v>
      </c>
      <c r="V109" s="48">
        <f>S109+1</f>
        <v>15</v>
      </c>
      <c r="AG109" s="418"/>
      <c r="AH109" s="418"/>
    </row>
    <row r="110" spans="2:34" ht="15">
      <c r="B110" s="213">
        <v>1</v>
      </c>
      <c r="C110" s="213" t="s">
        <v>53</v>
      </c>
      <c r="E110" s="48">
        <v>0</v>
      </c>
      <c r="F110" s="48">
        <v>0</v>
      </c>
      <c r="G110" s="48">
        <v>0</v>
      </c>
      <c r="I110" s="48">
        <v>2</v>
      </c>
      <c r="J110" s="204">
        <f aca="true" t="shared" si="12" ref="J110:J120">F35</f>
      </c>
      <c r="M110" s="215">
        <v>42461</v>
      </c>
      <c r="N110" s="215">
        <f aca="true" t="shared" si="13" ref="N110:N121">M111-1</f>
        <v>42490</v>
      </c>
      <c r="O110" s="216">
        <f aca="true" t="shared" si="14" ref="O110:O121">DAY(M110)</f>
        <v>1</v>
      </c>
      <c r="P110" s="48">
        <f aca="true" t="shared" si="15" ref="P110:P121">DAY(N110)</f>
        <v>30</v>
      </c>
      <c r="AG110" s="418"/>
      <c r="AH110" s="418"/>
    </row>
    <row r="111" spans="2:34" ht="15">
      <c r="B111" s="213">
        <v>2</v>
      </c>
      <c r="C111" s="213" t="s">
        <v>563</v>
      </c>
      <c r="E111" s="48">
        <f>ROUND(E112/2,0)</f>
        <v>16170</v>
      </c>
      <c r="F111" s="48">
        <f>ROUND(F112/2,0)</f>
        <v>1949</v>
      </c>
      <c r="G111" s="48">
        <f>ROUND(G112/2,0)</f>
        <v>1941</v>
      </c>
      <c r="I111" s="48">
        <v>3</v>
      </c>
      <c r="J111" s="204">
        <f t="shared" si="12"/>
      </c>
      <c r="M111" s="215">
        <v>42491</v>
      </c>
      <c r="N111" s="215">
        <f t="shared" si="13"/>
        <v>42521</v>
      </c>
      <c r="O111" s="216">
        <f t="shared" si="14"/>
        <v>1</v>
      </c>
      <c r="P111" s="48">
        <f t="shared" si="15"/>
        <v>31</v>
      </c>
      <c r="R111" s="510" t="s">
        <v>71</v>
      </c>
      <c r="S111" s="510"/>
      <c r="T111" s="510"/>
      <c r="U111" s="510"/>
      <c r="V111" s="510" t="s">
        <v>73</v>
      </c>
      <c r="W111" s="510"/>
      <c r="X111" s="510"/>
      <c r="Y111" s="510"/>
      <c r="Z111" s="510" t="s">
        <v>63</v>
      </c>
      <c r="AA111" s="510"/>
      <c r="AB111" s="510"/>
      <c r="AC111" s="510"/>
      <c r="AG111" s="418"/>
      <c r="AH111" s="418"/>
    </row>
    <row r="112" spans="2:34" ht="15">
      <c r="B112" s="213">
        <v>3</v>
      </c>
      <c r="C112" s="213" t="s">
        <v>564</v>
      </c>
      <c r="E112" s="48">
        <f>'Salary Details'!C4</f>
        <v>32340</v>
      </c>
      <c r="F112" s="48">
        <f>'Salary Details'!D4</f>
        <v>3898</v>
      </c>
      <c r="G112" s="48">
        <f>'Salary Details'!E4</f>
        <v>3881</v>
      </c>
      <c r="I112" s="48">
        <v>4</v>
      </c>
      <c r="J112" s="204">
        <f t="shared" si="12"/>
      </c>
      <c r="M112" s="215">
        <v>42522</v>
      </c>
      <c r="N112" s="215">
        <f t="shared" si="13"/>
        <v>42551</v>
      </c>
      <c r="O112" s="216">
        <f t="shared" si="14"/>
        <v>1</v>
      </c>
      <c r="P112" s="48">
        <f t="shared" si="15"/>
        <v>30</v>
      </c>
      <c r="R112" s="217" t="s">
        <v>13</v>
      </c>
      <c r="S112" s="217" t="s">
        <v>17</v>
      </c>
      <c r="T112" s="217" t="s">
        <v>12</v>
      </c>
      <c r="U112" s="217" t="s">
        <v>72</v>
      </c>
      <c r="V112" s="217" t="s">
        <v>13</v>
      </c>
      <c r="W112" s="217" t="s">
        <v>17</v>
      </c>
      <c r="X112" s="217" t="s">
        <v>12</v>
      </c>
      <c r="Y112" s="217" t="s">
        <v>31</v>
      </c>
      <c r="Z112" s="217" t="s">
        <v>13</v>
      </c>
      <c r="AA112" s="217" t="s">
        <v>17</v>
      </c>
      <c r="AB112" s="217" t="s">
        <v>12</v>
      </c>
      <c r="AC112" s="217" t="s">
        <v>72</v>
      </c>
      <c r="AG112" s="418"/>
      <c r="AH112" s="418"/>
    </row>
    <row r="113" spans="2:34" ht="15">
      <c r="B113" s="213">
        <v>4</v>
      </c>
      <c r="C113" s="213" t="s">
        <v>565</v>
      </c>
      <c r="E113" s="48">
        <f>ROUND(E114/2,0)</f>
        <v>16170</v>
      </c>
      <c r="F113" s="48">
        <f>ROUND(F114/2,0)</f>
        <v>1949</v>
      </c>
      <c r="G113" s="48">
        <f>ROUND(G114/2,0)</f>
        <v>1941</v>
      </c>
      <c r="I113" s="48">
        <v>5</v>
      </c>
      <c r="J113" s="204">
        <f t="shared" si="12"/>
      </c>
      <c r="M113" s="215">
        <v>42552</v>
      </c>
      <c r="N113" s="215">
        <f t="shared" si="13"/>
        <v>42582</v>
      </c>
      <c r="O113" s="216">
        <f t="shared" si="14"/>
        <v>1</v>
      </c>
      <c r="P113" s="48">
        <f t="shared" si="15"/>
        <v>31</v>
      </c>
      <c r="Q113" s="48">
        <f>VLOOKUP(Q108,N37:O48,2,0)</f>
        <v>1</v>
      </c>
      <c r="R113" s="211">
        <f>VLOOKUP(Q113+1,O37:R48,2,0)</f>
        <v>32340</v>
      </c>
      <c r="S113" s="48">
        <f>VLOOKUP(Q113+1,O37:R48,4,0)</f>
        <v>12.052</v>
      </c>
      <c r="T113" s="48">
        <f>VLOOKUP(Q113+1,O37:R48,3,0)</f>
        <v>12</v>
      </c>
      <c r="U113" s="211"/>
      <c r="V113" s="211">
        <f>VLOOKUP(Q113,O37:R48,2,0)</f>
        <v>32340</v>
      </c>
      <c r="W113" s="48">
        <f>S113</f>
        <v>12.052</v>
      </c>
      <c r="X113" s="48">
        <f>VLOOKUP(Q113,O37:R48,3,0)</f>
        <v>12</v>
      </c>
      <c r="Z113" s="211">
        <f>R113-V113</f>
        <v>0</v>
      </c>
      <c r="AA113" s="211">
        <f>ROUND(R113*S113%,0)-ROUND(V113*W113%,0)</f>
        <v>0</v>
      </c>
      <c r="AB113" s="211">
        <f>T114-X114</f>
        <v>0</v>
      </c>
      <c r="AC113" s="211">
        <f>SUM(Z113:AB113)</f>
        <v>0</v>
      </c>
      <c r="AG113" s="418"/>
      <c r="AH113" s="418"/>
    </row>
    <row r="114" spans="2:34" ht="15">
      <c r="B114" s="213">
        <v>5</v>
      </c>
      <c r="C114" s="213" t="s">
        <v>566</v>
      </c>
      <c r="E114" s="48">
        <f>'Salary Details'!C5</f>
        <v>32340</v>
      </c>
      <c r="F114" s="48">
        <f>'Salary Details'!D4</f>
        <v>3898</v>
      </c>
      <c r="G114" s="48">
        <f>'Salary Details'!E5</f>
        <v>3881</v>
      </c>
      <c r="I114" s="48">
        <v>6</v>
      </c>
      <c r="J114" s="204">
        <f t="shared" si="12"/>
      </c>
      <c r="M114" s="215">
        <v>42583</v>
      </c>
      <c r="N114" s="215">
        <f t="shared" si="13"/>
        <v>42613</v>
      </c>
      <c r="O114" s="216">
        <f t="shared" si="14"/>
        <v>1</v>
      </c>
      <c r="P114" s="48">
        <f t="shared" si="15"/>
        <v>31</v>
      </c>
      <c r="R114" s="48">
        <f>R113</f>
        <v>32340</v>
      </c>
      <c r="S114" s="48">
        <f>ROUND(R114*S113%,0)</f>
        <v>3898</v>
      </c>
      <c r="T114" s="48">
        <f>ROUND(R114*T113%,0)</f>
        <v>3881</v>
      </c>
      <c r="V114" s="48">
        <f>V113</f>
        <v>32340</v>
      </c>
      <c r="W114" s="48">
        <f>ROUND(V113*W113%,0)</f>
        <v>3898</v>
      </c>
      <c r="X114" s="48">
        <f>ROUND(V114*X113%,0)</f>
        <v>3881</v>
      </c>
      <c r="Z114" s="48">
        <f>ROUND(Z113*$V$109/$Q$109,0)</f>
        <v>0</v>
      </c>
      <c r="AA114" s="48">
        <f>ROUND((AA113/Q109)*V109,0)</f>
        <v>0</v>
      </c>
      <c r="AB114" s="48">
        <f>IF(AA113=0,0,ROUND(AB113*$V$109/$Q$109,0))</f>
        <v>0</v>
      </c>
      <c r="AC114" s="48">
        <f>Z114+AA114+AB114</f>
        <v>0</v>
      </c>
      <c r="AG114" s="418"/>
      <c r="AH114" s="418"/>
    </row>
    <row r="115" spans="2:34" ht="15">
      <c r="B115" s="213">
        <v>6</v>
      </c>
      <c r="C115" s="213" t="s">
        <v>567</v>
      </c>
      <c r="E115" s="48">
        <f>ROUND(E116/2,0)</f>
        <v>16170</v>
      </c>
      <c r="F115" s="48">
        <f>ROUND(F116/2,0)</f>
        <v>1949</v>
      </c>
      <c r="G115" s="48">
        <f>ROUND(G116/2,0)</f>
        <v>1941</v>
      </c>
      <c r="I115" s="48">
        <v>7</v>
      </c>
      <c r="J115" s="204">
        <f t="shared" si="12"/>
      </c>
      <c r="M115" s="215">
        <v>42614</v>
      </c>
      <c r="N115" s="215">
        <f t="shared" si="13"/>
        <v>42643</v>
      </c>
      <c r="O115" s="216">
        <f t="shared" si="14"/>
        <v>1</v>
      </c>
      <c r="P115" s="48">
        <f t="shared" si="15"/>
        <v>30</v>
      </c>
      <c r="R115" s="48">
        <f>ROUND((R114/Q109)*V109,0)</f>
        <v>15648</v>
      </c>
      <c r="S115" s="48">
        <f>ROUND(R115*S113%,0)</f>
        <v>1886</v>
      </c>
      <c r="T115" s="48">
        <f>ROUND(R115*T113%,0)</f>
        <v>1878</v>
      </c>
      <c r="V115" s="48">
        <f>ROUND((V114/Q109)*V109,0)</f>
        <v>15648</v>
      </c>
      <c r="W115" s="48">
        <f>ROUND(V115*W113%,0)</f>
        <v>1886</v>
      </c>
      <c r="X115" s="48">
        <f>ROUND(V115*X113%,0)</f>
        <v>1878</v>
      </c>
      <c r="Z115" s="48">
        <f>R115-V115</f>
        <v>0</v>
      </c>
      <c r="AA115" s="48">
        <f>S115-W115</f>
        <v>0</v>
      </c>
      <c r="AB115" s="48">
        <f>T115-X115</f>
        <v>0</v>
      </c>
      <c r="AG115" s="418"/>
      <c r="AH115" s="418"/>
    </row>
    <row r="116" spans="2:34" ht="15">
      <c r="B116" s="213">
        <v>7</v>
      </c>
      <c r="C116" s="213" t="s">
        <v>568</v>
      </c>
      <c r="E116" s="48">
        <f>'Salary Details'!C6</f>
        <v>32340</v>
      </c>
      <c r="F116" s="48">
        <f>'Salary Details'!D6</f>
        <v>3898</v>
      </c>
      <c r="G116" s="48">
        <f>'Salary Details'!E6</f>
        <v>3881</v>
      </c>
      <c r="I116" s="48">
        <v>8</v>
      </c>
      <c r="J116" s="204">
        <f t="shared" si="12"/>
      </c>
      <c r="M116" s="215">
        <v>42644</v>
      </c>
      <c r="N116" s="215">
        <f t="shared" si="13"/>
        <v>42674</v>
      </c>
      <c r="O116" s="216">
        <f t="shared" si="14"/>
        <v>1</v>
      </c>
      <c r="P116" s="48">
        <f t="shared" si="15"/>
        <v>31</v>
      </c>
      <c r="AG116" s="418"/>
      <c r="AH116" s="418"/>
    </row>
    <row r="117" spans="2:34" ht="15">
      <c r="B117" s="213">
        <v>8</v>
      </c>
      <c r="C117" s="213" t="s">
        <v>569</v>
      </c>
      <c r="E117" s="48">
        <f>ROUND(E118/2,0)</f>
        <v>16170</v>
      </c>
      <c r="F117" s="48">
        <f>ROUND(F118/2,0)</f>
        <v>1949</v>
      </c>
      <c r="G117" s="48">
        <f>ROUND(G118/2,0)</f>
        <v>1941</v>
      </c>
      <c r="I117" s="48">
        <v>9</v>
      </c>
      <c r="J117" s="204">
        <f t="shared" si="12"/>
      </c>
      <c r="M117" s="215">
        <v>42675</v>
      </c>
      <c r="N117" s="215">
        <f t="shared" si="13"/>
        <v>42704</v>
      </c>
      <c r="O117" s="216">
        <f t="shared" si="14"/>
        <v>1</v>
      </c>
      <c r="P117" s="48">
        <f t="shared" si="15"/>
        <v>30</v>
      </c>
      <c r="AA117" s="48">
        <f>S113-W113</f>
        <v>0</v>
      </c>
      <c r="AB117" s="48">
        <f>ROUND(360*AA117%,0)</f>
        <v>0</v>
      </c>
      <c r="AG117" s="418"/>
      <c r="AH117" s="418"/>
    </row>
    <row r="118" spans="2:34" ht="15">
      <c r="B118" s="213">
        <v>9</v>
      </c>
      <c r="C118" s="213" t="s">
        <v>570</v>
      </c>
      <c r="E118" s="48">
        <f>'Salary Details'!C7</f>
        <v>32340</v>
      </c>
      <c r="F118" s="48">
        <f>'Salary Details'!D7</f>
        <v>3898</v>
      </c>
      <c r="G118" s="48">
        <f>'Salary Details'!E7</f>
        <v>3881</v>
      </c>
      <c r="I118" s="48">
        <v>10</v>
      </c>
      <c r="J118" s="204">
        <f t="shared" si="12"/>
      </c>
      <c r="M118" s="215">
        <v>42705</v>
      </c>
      <c r="N118" s="215">
        <f t="shared" si="13"/>
        <v>42735</v>
      </c>
      <c r="O118" s="216">
        <f t="shared" si="14"/>
        <v>1</v>
      </c>
      <c r="P118" s="48">
        <f t="shared" si="15"/>
        <v>31</v>
      </c>
      <c r="AA118" s="48">
        <f>AA113</f>
        <v>0</v>
      </c>
      <c r="AG118" s="418"/>
      <c r="AH118" s="418"/>
    </row>
    <row r="119" spans="2:34" ht="15">
      <c r="B119" s="213">
        <v>10</v>
      </c>
      <c r="C119" s="213" t="s">
        <v>571</v>
      </c>
      <c r="E119" s="48">
        <f>ROUND(E120/2,0)</f>
        <v>16170</v>
      </c>
      <c r="F119" s="48">
        <f>ROUND(F120/2,0)</f>
        <v>1949</v>
      </c>
      <c r="G119" s="48">
        <f>ROUND(G120/2,0)</f>
        <v>1941</v>
      </c>
      <c r="I119" s="48">
        <v>11</v>
      </c>
      <c r="J119" s="204">
        <f t="shared" si="12"/>
      </c>
      <c r="M119" s="215">
        <v>42736</v>
      </c>
      <c r="N119" s="215">
        <f t="shared" si="13"/>
        <v>42766</v>
      </c>
      <c r="O119" s="216">
        <f t="shared" si="14"/>
        <v>1</v>
      </c>
      <c r="P119" s="48">
        <f t="shared" si="15"/>
        <v>31</v>
      </c>
      <c r="AG119" s="418"/>
      <c r="AH119" s="418"/>
    </row>
    <row r="120" spans="2:34" ht="15">
      <c r="B120" s="213">
        <v>11</v>
      </c>
      <c r="C120" s="213" t="s">
        <v>572</v>
      </c>
      <c r="E120" s="48">
        <f>'Salary Details'!C8</f>
        <v>32340</v>
      </c>
      <c r="F120" s="48">
        <f>'Salary Details'!D8</f>
        <v>3898</v>
      </c>
      <c r="G120" s="48">
        <f>'Salary Details'!E8</f>
        <v>3881</v>
      </c>
      <c r="I120" s="48">
        <v>12</v>
      </c>
      <c r="J120" s="204">
        <f t="shared" si="12"/>
      </c>
      <c r="M120" s="215">
        <v>42767</v>
      </c>
      <c r="N120" s="215">
        <f t="shared" si="13"/>
        <v>42794</v>
      </c>
      <c r="O120" s="216">
        <f t="shared" si="14"/>
        <v>1</v>
      </c>
      <c r="P120" s="48">
        <f t="shared" si="15"/>
        <v>28</v>
      </c>
      <c r="AG120" s="418"/>
      <c r="AH120" s="418"/>
    </row>
    <row r="121" spans="2:34" ht="15">
      <c r="B121" s="213">
        <v>12</v>
      </c>
      <c r="C121" s="213" t="s">
        <v>573</v>
      </c>
      <c r="E121" s="48">
        <f>ROUND(E122/2,0)</f>
        <v>16170</v>
      </c>
      <c r="F121" s="48">
        <f>ROUND(F122/2,0)</f>
        <v>2457</v>
      </c>
      <c r="G121" s="48">
        <f>ROUND(G122/2,0)</f>
        <v>1941</v>
      </c>
      <c r="M121" s="215">
        <v>42795</v>
      </c>
      <c r="N121" s="215">
        <f t="shared" si="13"/>
        <v>-1</v>
      </c>
      <c r="O121" s="216">
        <f t="shared" si="14"/>
        <v>1</v>
      </c>
      <c r="P121" s="48" t="e">
        <f t="shared" si="15"/>
        <v>#NUM!</v>
      </c>
      <c r="AG121" s="418"/>
      <c r="AH121" s="418"/>
    </row>
    <row r="122" spans="2:34" ht="15">
      <c r="B122" s="213">
        <v>13</v>
      </c>
      <c r="C122" s="213" t="s">
        <v>574</v>
      </c>
      <c r="E122" s="48">
        <f>'Salary Details'!C9</f>
        <v>32340</v>
      </c>
      <c r="F122" s="48">
        <f>'Salary Details'!D9</f>
        <v>4914</v>
      </c>
      <c r="G122" s="48">
        <f>'Salary Details'!E9</f>
        <v>3881</v>
      </c>
      <c r="M122" s="204"/>
      <c r="S122" s="213" t="str">
        <f>IF(M74=1,S125,S129)</f>
        <v>Up to Rs. 2,50,000</v>
      </c>
      <c r="T122" s="213"/>
      <c r="U122" s="213"/>
      <c r="AG122" s="418"/>
      <c r="AH122" s="418"/>
    </row>
    <row r="123" spans="2:34" ht="15">
      <c r="B123" s="213">
        <v>14</v>
      </c>
      <c r="C123" s="213" t="s">
        <v>575</v>
      </c>
      <c r="E123" s="48">
        <f>ROUND(E124/2,0)</f>
        <v>16170</v>
      </c>
      <c r="F123" s="48">
        <f>ROUND(F124/2,0)</f>
        <v>2457</v>
      </c>
      <c r="G123" s="48">
        <f>ROUND(G124/2,0)</f>
        <v>1941</v>
      </c>
      <c r="M123" s="204"/>
      <c r="S123" s="213" t="str">
        <f>IF(M74=1,S126,S130)</f>
        <v>Rs.2,50,001 To 5,00,000.    (@ 10%)</v>
      </c>
      <c r="T123" s="213"/>
      <c r="U123" s="213"/>
      <c r="AG123" s="418"/>
      <c r="AH123" s="418"/>
    </row>
    <row r="124" spans="2:34" ht="15">
      <c r="B124" s="213">
        <v>15</v>
      </c>
      <c r="C124" s="213" t="s">
        <v>576</v>
      </c>
      <c r="E124" s="48">
        <f>'Salary Details'!C10</f>
        <v>32340</v>
      </c>
      <c r="F124" s="48">
        <f>'Salary Details'!D10</f>
        <v>4914</v>
      </c>
      <c r="G124" s="48">
        <f>'Salary Details'!E10</f>
        <v>3881</v>
      </c>
      <c r="M124" s="204"/>
      <c r="S124" s="213"/>
      <c r="T124" s="213"/>
      <c r="U124" s="213"/>
      <c r="AG124" s="418"/>
      <c r="AH124" s="418"/>
    </row>
    <row r="125" spans="2:34" ht="15">
      <c r="B125" s="213">
        <v>16</v>
      </c>
      <c r="C125" s="213" t="s">
        <v>577</v>
      </c>
      <c r="E125" s="48">
        <f>ROUND(E126/2,0)</f>
        <v>16610</v>
      </c>
      <c r="F125" s="48">
        <f>ROUND(F126/2,0)</f>
        <v>2524</v>
      </c>
      <c r="G125" s="48">
        <f>ROUND(G126/2,0)</f>
        <v>1993</v>
      </c>
      <c r="M125" s="204"/>
      <c r="S125" s="96" t="s">
        <v>451</v>
      </c>
      <c r="T125" s="213"/>
      <c r="U125" s="213"/>
      <c r="AG125" s="418"/>
      <c r="AH125" s="418"/>
    </row>
    <row r="126" spans="2:34" ht="15">
      <c r="B126" s="213">
        <v>17</v>
      </c>
      <c r="C126" s="213" t="s">
        <v>578</v>
      </c>
      <c r="E126" s="48">
        <f>'Salary Details'!C11</f>
        <v>33220</v>
      </c>
      <c r="F126" s="48">
        <f>'Salary Details'!D11</f>
        <v>5048</v>
      </c>
      <c r="G126" s="48">
        <f>'Salary Details'!E11</f>
        <v>3986</v>
      </c>
      <c r="S126" s="96" t="s">
        <v>452</v>
      </c>
      <c r="T126" s="213"/>
      <c r="U126" s="213"/>
      <c r="AG126" s="418"/>
      <c r="AH126" s="418"/>
    </row>
    <row r="127" spans="2:34" ht="15">
      <c r="B127" s="213">
        <v>18</v>
      </c>
      <c r="C127" s="213" t="s">
        <v>579</v>
      </c>
      <c r="E127" s="48">
        <f>ROUND(E128/2,0)</f>
        <v>16610</v>
      </c>
      <c r="F127" s="48">
        <f>ROUND(F128/2,0)</f>
        <v>2524</v>
      </c>
      <c r="G127" s="48">
        <f>ROUND(G128/2,0)</f>
        <v>1993</v>
      </c>
      <c r="S127" s="213"/>
      <c r="T127" s="213"/>
      <c r="U127" s="213"/>
      <c r="AG127" s="418"/>
      <c r="AH127" s="418"/>
    </row>
    <row r="128" spans="2:34" ht="15">
      <c r="B128" s="213">
        <v>19</v>
      </c>
      <c r="C128" s="213" t="s">
        <v>580</v>
      </c>
      <c r="E128" s="48">
        <f>'Salary Details'!C12</f>
        <v>33220</v>
      </c>
      <c r="F128" s="48">
        <f>'Salary Details'!D12</f>
        <v>5048</v>
      </c>
      <c r="G128" s="48">
        <f>'Salary Details'!E12</f>
        <v>3986</v>
      </c>
      <c r="S128" s="213"/>
      <c r="T128" s="213"/>
      <c r="U128" s="213"/>
      <c r="AG128" s="418"/>
      <c r="AH128" s="418"/>
    </row>
    <row r="129" spans="2:34" ht="15">
      <c r="B129" s="213">
        <v>20</v>
      </c>
      <c r="C129" s="213" t="s">
        <v>581</v>
      </c>
      <c r="E129" s="48">
        <f>ROUND(E130/2,0)</f>
        <v>16610</v>
      </c>
      <c r="F129" s="48">
        <f>ROUND(F130/2,0)</f>
        <v>2524</v>
      </c>
      <c r="G129" s="48">
        <f>ROUND(G130/2,0)</f>
        <v>1993</v>
      </c>
      <c r="P129" s="48" t="s">
        <v>12</v>
      </c>
      <c r="S129" s="96" t="s">
        <v>451</v>
      </c>
      <c r="T129" s="213"/>
      <c r="U129" s="213"/>
      <c r="AG129" s="418"/>
      <c r="AH129" s="418"/>
    </row>
    <row r="130" spans="2:34" ht="15">
      <c r="B130" s="213">
        <v>21</v>
      </c>
      <c r="C130" s="213" t="s">
        <v>582</v>
      </c>
      <c r="E130" s="48">
        <f>'Salary Details'!C13</f>
        <v>33220</v>
      </c>
      <c r="F130" s="48">
        <f>'Salary Details'!D13</f>
        <v>5048</v>
      </c>
      <c r="G130" s="48">
        <f>'Salary Details'!E13</f>
        <v>3986</v>
      </c>
      <c r="O130" s="48" t="s">
        <v>127</v>
      </c>
      <c r="P130" s="211">
        <f>'Salary Details'!E23+IF(V6=2,'Salary Details'!F23,0)</f>
        <v>47097</v>
      </c>
      <c r="S130" s="96" t="s">
        <v>453</v>
      </c>
      <c r="T130" s="213"/>
      <c r="U130" s="213"/>
      <c r="AG130" s="418"/>
      <c r="AH130" s="418"/>
    </row>
    <row r="131" spans="2:34" ht="15">
      <c r="B131" s="213">
        <v>22</v>
      </c>
      <c r="C131" s="213" t="s">
        <v>583</v>
      </c>
      <c r="E131" s="48">
        <f>ROUND(E132/2,0)</f>
        <v>16610</v>
      </c>
      <c r="F131" s="48">
        <f>ROUND(F132/2,0)</f>
        <v>2524</v>
      </c>
      <c r="G131" s="48">
        <f>ROUND(G132/2,0)</f>
        <v>1993</v>
      </c>
      <c r="O131" s="48" t="s">
        <v>13</v>
      </c>
      <c r="P131" s="48">
        <f>'Salary Details'!C23</f>
        <v>392480</v>
      </c>
      <c r="AG131" s="418"/>
      <c r="AH131" s="418"/>
    </row>
    <row r="132" spans="2:34" ht="15">
      <c r="B132" s="213">
        <v>23</v>
      </c>
      <c r="C132" s="213" t="s">
        <v>584</v>
      </c>
      <c r="E132" s="48">
        <f>'Salary Details'!C14</f>
        <v>33220</v>
      </c>
      <c r="F132" s="48">
        <f>'Salary Details'!D14</f>
        <v>5048</v>
      </c>
      <c r="G132" s="48">
        <f>'Salary Details'!E14</f>
        <v>3986</v>
      </c>
      <c r="O132" s="48" t="s">
        <v>17</v>
      </c>
      <c r="P132" s="48">
        <f>'Salary Details'!D23</f>
        <v>71758</v>
      </c>
      <c r="AG132" s="418"/>
      <c r="AH132" s="418"/>
    </row>
    <row r="133" spans="2:34" ht="15">
      <c r="B133" s="213">
        <v>24</v>
      </c>
      <c r="C133" s="213" t="s">
        <v>585</v>
      </c>
      <c r="E133" s="48">
        <f>ROUND(E134/2,0)</f>
        <v>16610</v>
      </c>
      <c r="F133" s="48">
        <f>ROUND(F134/2,0)</f>
        <v>2524</v>
      </c>
      <c r="G133" s="48">
        <f>ROUND(G134/2,0)</f>
        <v>1993</v>
      </c>
      <c r="O133" s="218">
        <v>0.1</v>
      </c>
      <c r="P133" s="211">
        <f>ROUND((P132+P131)*10%,0)</f>
        <v>46424</v>
      </c>
      <c r="T133" s="48" t="s">
        <v>323</v>
      </c>
      <c r="U133" s="48" t="s">
        <v>324</v>
      </c>
      <c r="AG133" s="418"/>
      <c r="AH133" s="418"/>
    </row>
    <row r="134" spans="2:21" ht="15">
      <c r="B134" s="213">
        <v>25</v>
      </c>
      <c r="C134" s="213" t="s">
        <v>586</v>
      </c>
      <c r="E134" s="48">
        <f>'Salary Details'!C15</f>
        <v>33220</v>
      </c>
      <c r="F134" s="48">
        <f>'Salary Details'!D15</f>
        <v>5048</v>
      </c>
      <c r="G134" s="48">
        <f>'Salary Details'!E15</f>
        <v>3986</v>
      </c>
      <c r="M134" s="48" t="s">
        <v>514</v>
      </c>
      <c r="N134" s="211">
        <f>IF(BF10&gt;0,BF10,ROUND((P130+P133)/12,-2)+100)</f>
        <v>7900</v>
      </c>
      <c r="R134" s="48" t="s">
        <v>134</v>
      </c>
      <c r="U134" s="211">
        <f>'Income Tax Form'!L48</f>
        <v>313930</v>
      </c>
    </row>
    <row r="135" spans="20:24" ht="15">
      <c r="T135" s="219" t="s">
        <v>32</v>
      </c>
      <c r="U135" s="219" t="s">
        <v>33</v>
      </c>
      <c r="V135" s="219" t="str">
        <f>N74</f>
        <v>Male</v>
      </c>
      <c r="W135" s="48" t="str">
        <f>V135</f>
        <v>Male</v>
      </c>
      <c r="X135" s="306" t="s">
        <v>517</v>
      </c>
    </row>
    <row r="136" spans="20:23" ht="15.75" thickBot="1">
      <c r="T136" s="219">
        <v>200000</v>
      </c>
      <c r="U136" s="219">
        <v>200000</v>
      </c>
      <c r="V136" s="219">
        <f>HLOOKUP(V135,T135:U136,2,0)</f>
        <v>200000</v>
      </c>
      <c r="W136" s="48" t="s">
        <v>136</v>
      </c>
    </row>
    <row r="137" spans="3:23" ht="15.75" thickBot="1">
      <c r="C137" s="535"/>
      <c r="D137" s="536"/>
      <c r="E137" s="536"/>
      <c r="F137" s="536"/>
      <c r="G137" s="537"/>
      <c r="S137" s="218" t="str">
        <f>CONCATENATE(S123,"( i.e ",V137,"x","10%)")</f>
        <v>Rs.2,50,001 To 5,00,000.    (@ 10%)( i.e 63930x10%)</v>
      </c>
      <c r="T137" s="211">
        <f>IF(U134&gt;500000,250000,IF(AND($U$134&gt;250000,$U$134&lt;=500000),U134-250000,0))</f>
        <v>63930</v>
      </c>
      <c r="U137" s="211">
        <f>IF(U134&gt;500000,250000,IF(AND($U$134&gt;250000,$U$134&lt;=500000),U134-250000,0))</f>
        <v>63930</v>
      </c>
      <c r="V137" s="220">
        <f>HLOOKUP(V136,T136:U137,2,0)</f>
        <v>63930</v>
      </c>
      <c r="W137" s="48">
        <f>ROUND(V137*10%,0)</f>
        <v>6393</v>
      </c>
    </row>
    <row r="138" spans="3:23" ht="15.75" thickBot="1">
      <c r="C138" s="535"/>
      <c r="D138" s="536"/>
      <c r="E138" s="536"/>
      <c r="F138" s="536"/>
      <c r="G138" s="537"/>
      <c r="S138" s="218" t="str">
        <f>S142&amp;IF(T138=0,"","(i.e"&amp;T138&amp;"x20%)")</f>
        <v>Rs.5,00,001 To10,00,000.   (@ 20%)</v>
      </c>
      <c r="T138" s="211">
        <f>IF(U134&gt;1000000,500000,IF(AND(U134&gt;500000,U134&lt;=1000000),U134-500000,0))</f>
        <v>0</v>
      </c>
      <c r="U138" s="211">
        <f>T138</f>
        <v>0</v>
      </c>
      <c r="V138" s="220">
        <f>HLOOKUP(V137,T137:U138,2,0)</f>
        <v>0</v>
      </c>
      <c r="W138" s="48">
        <f>ROUND(V138*20%,0)</f>
        <v>0</v>
      </c>
    </row>
    <row r="139" spans="3:23" ht="15.75" thickBot="1">
      <c r="C139" s="525"/>
      <c r="D139" s="526"/>
      <c r="E139" s="526"/>
      <c r="F139" s="526"/>
      <c r="G139" s="527"/>
      <c r="N139" s="211">
        <f>N134*12</f>
        <v>94800</v>
      </c>
      <c r="O139" s="211">
        <f>P133</f>
        <v>46424</v>
      </c>
      <c r="P139" s="211">
        <f>N139-O139</f>
        <v>48376</v>
      </c>
      <c r="S139" s="218" t="str">
        <f>S143&amp;IF(T139=0,"","(i.e"&amp;T139&amp;"x30%)")</f>
        <v>above Rs.10,00,001.          (@ 30%)</v>
      </c>
      <c r="T139" s="48">
        <f>IF(U134&gt;1000000,U134-1000000,0)</f>
        <v>0</v>
      </c>
      <c r="U139" s="48">
        <f>T139</f>
        <v>0</v>
      </c>
      <c r="V139" s="220">
        <f>HLOOKUP(V138,T138:U139,2,0)</f>
        <v>0</v>
      </c>
      <c r="W139" s="48">
        <f>ROUND(V139*30%,0)</f>
        <v>0</v>
      </c>
    </row>
    <row r="140" ht="15">
      <c r="C140" s="221" t="s">
        <v>78</v>
      </c>
    </row>
    <row r="141" spans="3:22" ht="15">
      <c r="C141" s="213" t="s">
        <v>79</v>
      </c>
      <c r="U141" s="211"/>
      <c r="V141" s="48">
        <f>V137+V138+V139</f>
        <v>63930</v>
      </c>
    </row>
    <row r="142" spans="3:19" ht="15">
      <c r="C142" s="222" t="s">
        <v>80</v>
      </c>
      <c r="S142" s="48" t="s">
        <v>321</v>
      </c>
    </row>
    <row r="143" spans="3:19" ht="15">
      <c r="C143" s="222" t="s">
        <v>75</v>
      </c>
      <c r="S143" s="48" t="s">
        <v>322</v>
      </c>
    </row>
    <row r="144" spans="3:14" ht="15">
      <c r="C144" s="222" t="s">
        <v>76</v>
      </c>
      <c r="N144" s="48">
        <f>ROUND((P130+P133)/12,-2)+100</f>
        <v>7900</v>
      </c>
    </row>
    <row r="145" ht="15">
      <c r="C145" s="222" t="s">
        <v>77</v>
      </c>
    </row>
    <row r="148" ht="15">
      <c r="D148" s="48" t="s">
        <v>550</v>
      </c>
    </row>
    <row r="153" ht="15">
      <c r="P153" s="48" t="s">
        <v>534</v>
      </c>
    </row>
    <row r="154" spans="13:24" ht="15">
      <c r="M154" s="510" t="s">
        <v>535</v>
      </c>
      <c r="N154" s="510"/>
      <c r="O154" s="510"/>
      <c r="P154" s="510"/>
      <c r="Q154" s="510" t="s">
        <v>536</v>
      </c>
      <c r="R154" s="510"/>
      <c r="S154" s="510"/>
      <c r="T154" s="510"/>
      <c r="U154" s="511" t="s">
        <v>272</v>
      </c>
      <c r="V154" s="511"/>
      <c r="W154" s="511"/>
      <c r="X154" s="511"/>
    </row>
    <row r="155" spans="13:23" ht="15">
      <c r="M155" s="182" t="s">
        <v>21</v>
      </c>
      <c r="N155" s="182" t="s">
        <v>17</v>
      </c>
      <c r="O155" s="182" t="s">
        <v>12</v>
      </c>
      <c r="P155" s="182" t="s">
        <v>329</v>
      </c>
      <c r="Q155" s="182"/>
      <c r="R155" s="182" t="s">
        <v>13</v>
      </c>
      <c r="S155" s="182" t="s">
        <v>17</v>
      </c>
      <c r="T155" s="182" t="s">
        <v>12</v>
      </c>
      <c r="U155" s="182" t="s">
        <v>13</v>
      </c>
      <c r="V155" s="182" t="s">
        <v>537</v>
      </c>
      <c r="W155" s="182" t="s">
        <v>12</v>
      </c>
    </row>
    <row r="156" spans="10:23" ht="15">
      <c r="J156" s="204">
        <v>42095</v>
      </c>
      <c r="L156" s="48">
        <v>1</v>
      </c>
      <c r="M156" s="48">
        <f aca="true" t="shared" si="16" ref="M156:M162">P38</f>
        <v>32340</v>
      </c>
      <c r="N156" s="48">
        <f>ROUND(M156*77.896%,0)</f>
        <v>25192</v>
      </c>
      <c r="O156" s="48">
        <f aca="true" t="shared" si="17" ref="O156:O162">ROUND(M156*Q38%,0)</f>
        <v>3881</v>
      </c>
      <c r="P156" s="48">
        <f>ROUND(M156*27%,0)</f>
        <v>8732</v>
      </c>
      <c r="R156" s="48">
        <f>VLOOKUP(DATA!M156,DATA!$AG$6:$AH$79,2,0)</f>
        <v>32340</v>
      </c>
      <c r="S156" s="48">
        <f aca="true" t="shared" si="18" ref="S156:S162">ROUND(R156*8.908%,0)</f>
        <v>2881</v>
      </c>
      <c r="T156" s="48">
        <f>ROUND(R156*Q38%,0)</f>
        <v>3881</v>
      </c>
      <c r="U156" s="48">
        <f>R156-M156-N156-P156</f>
        <v>-33924</v>
      </c>
      <c r="V156" s="48">
        <f aca="true" t="shared" si="19" ref="V156:V162">S156</f>
        <v>2881</v>
      </c>
      <c r="W156" s="48">
        <f>T156-O156</f>
        <v>0</v>
      </c>
    </row>
    <row r="157" spans="10:23" ht="15">
      <c r="J157" s="204">
        <v>42125</v>
      </c>
      <c r="L157" s="48">
        <v>2</v>
      </c>
      <c r="M157" s="48">
        <f t="shared" si="16"/>
        <v>32340</v>
      </c>
      <c r="N157" s="48">
        <f>ROUND(M157*77.896%,0)</f>
        <v>25192</v>
      </c>
      <c r="O157" s="48">
        <f t="shared" si="17"/>
        <v>3881</v>
      </c>
      <c r="P157" s="48">
        <f aca="true" t="shared" si="20" ref="P157:P162">ROUND(M157*27%,0)</f>
        <v>8732</v>
      </c>
      <c r="R157" s="48">
        <f>VLOOKUP(DATA!M157,DATA!$AG$6:$AH$79,2,0)</f>
        <v>32340</v>
      </c>
      <c r="S157" s="48">
        <f t="shared" si="18"/>
        <v>2881</v>
      </c>
      <c r="T157" s="48">
        <f aca="true" t="shared" si="21" ref="T157:T162">ROUND(R157*Q39%,0)</f>
        <v>3881</v>
      </c>
      <c r="U157" s="48">
        <f>R157-M157-N157-P157</f>
        <v>-33924</v>
      </c>
      <c r="V157" s="48">
        <f t="shared" si="19"/>
        <v>2881</v>
      </c>
      <c r="W157" s="48">
        <f>T157-O157</f>
        <v>0</v>
      </c>
    </row>
    <row r="158" spans="10:23" ht="15">
      <c r="J158" s="204">
        <v>42156</v>
      </c>
      <c r="L158" s="48">
        <v>3</v>
      </c>
      <c r="M158" s="48">
        <f t="shared" si="16"/>
        <v>32340</v>
      </c>
      <c r="N158" s="48">
        <f>ROUND(M158*77.896%,0)</f>
        <v>25192</v>
      </c>
      <c r="O158" s="48">
        <f t="shared" si="17"/>
        <v>3881</v>
      </c>
      <c r="P158" s="48">
        <f t="shared" si="20"/>
        <v>8732</v>
      </c>
      <c r="R158" s="48">
        <f>VLOOKUP(DATA!M158,DATA!$AG$6:$AH$79,2,0)</f>
        <v>32340</v>
      </c>
      <c r="S158" s="48">
        <f t="shared" si="18"/>
        <v>2881</v>
      </c>
      <c r="T158" s="48">
        <f t="shared" si="21"/>
        <v>3881</v>
      </c>
      <c r="U158" s="48">
        <f>R158-M158-N158-P158</f>
        <v>-33924</v>
      </c>
      <c r="V158" s="48">
        <f t="shared" si="19"/>
        <v>2881</v>
      </c>
      <c r="W158" s="48">
        <f>T158-O158</f>
        <v>0</v>
      </c>
    </row>
    <row r="159" spans="10:23" ht="15">
      <c r="J159" s="204">
        <v>42186</v>
      </c>
      <c r="L159" s="48">
        <v>4</v>
      </c>
      <c r="M159" s="48">
        <f t="shared" si="16"/>
        <v>32340</v>
      </c>
      <c r="N159" s="48">
        <f>ROUND(M159*77.896%,0)</f>
        <v>25192</v>
      </c>
      <c r="O159" s="48">
        <f t="shared" si="17"/>
        <v>3881</v>
      </c>
      <c r="P159" s="48">
        <f t="shared" si="20"/>
        <v>8732</v>
      </c>
      <c r="R159" s="48">
        <f>IF(ISNA(VLOOKUP(DATA!M159,DATA!$AG$6:$AH$79,2,0)),0,VLOOKUP(DATA!M159,DATA!$AG$6:$AH$79,2,0))</f>
        <v>32340</v>
      </c>
      <c r="S159" s="48">
        <f t="shared" si="18"/>
        <v>2881</v>
      </c>
      <c r="T159" s="48">
        <f t="shared" si="21"/>
        <v>3881</v>
      </c>
      <c r="U159" s="48">
        <f>IF(R159=0,0,R159-M159-N159-P159)</f>
        <v>-33924</v>
      </c>
      <c r="V159" s="48">
        <f t="shared" si="19"/>
        <v>2881</v>
      </c>
      <c r="W159" s="48">
        <f>IF(R159=0,0,T159-O159)</f>
        <v>0</v>
      </c>
    </row>
    <row r="160" spans="10:23" ht="15">
      <c r="J160" s="204">
        <v>42217</v>
      </c>
      <c r="L160" s="48">
        <v>5</v>
      </c>
      <c r="M160" s="48">
        <f t="shared" si="16"/>
        <v>32340</v>
      </c>
      <c r="N160" s="48">
        <f>ROUND(M160*R42%,0)</f>
        <v>4914</v>
      </c>
      <c r="O160" s="48">
        <f t="shared" si="17"/>
        <v>3881</v>
      </c>
      <c r="P160" s="48">
        <f t="shared" si="20"/>
        <v>8732</v>
      </c>
      <c r="R160" s="48">
        <f>IF(ISNA(VLOOKUP(DATA!M160,DATA!$AG$6:$AH$79,2,0)),0,VLOOKUP(DATA!M160,DATA!$AG$6:$AH$79,2,0))</f>
        <v>32340</v>
      </c>
      <c r="S160" s="48">
        <f t="shared" si="18"/>
        <v>2881</v>
      </c>
      <c r="T160" s="48">
        <f t="shared" si="21"/>
        <v>3881</v>
      </c>
      <c r="U160" s="48">
        <f>IF(R160=0,0,R160-M160-N160-P160)</f>
        <v>-13646</v>
      </c>
      <c r="V160" s="48">
        <f t="shared" si="19"/>
        <v>2881</v>
      </c>
      <c r="W160" s="48">
        <f>IF(R160=0,0,T160-O160)</f>
        <v>0</v>
      </c>
    </row>
    <row r="161" spans="10:23" ht="15">
      <c r="J161" s="204">
        <v>42248</v>
      </c>
      <c r="L161" s="48">
        <v>6</v>
      </c>
      <c r="M161" s="48">
        <f t="shared" si="16"/>
        <v>32340</v>
      </c>
      <c r="N161" s="48">
        <f>ROUND(M161*R43%,0)</f>
        <v>4914</v>
      </c>
      <c r="O161" s="48">
        <f t="shared" si="17"/>
        <v>3881</v>
      </c>
      <c r="P161" s="48">
        <f t="shared" si="20"/>
        <v>8732</v>
      </c>
      <c r="R161" s="48">
        <f>IF(ISNA(VLOOKUP(DATA!M161,DATA!$AG$6:$AH$79,2,0)),0,VLOOKUP(DATA!M161,DATA!$AG$6:$AH$79,2,0))</f>
        <v>32340</v>
      </c>
      <c r="S161" s="48">
        <f t="shared" si="18"/>
        <v>2881</v>
      </c>
      <c r="T161" s="48">
        <f t="shared" si="21"/>
        <v>3881</v>
      </c>
      <c r="U161" s="48">
        <f>IF(R161=0,0,R161-M161-N161-P161)</f>
        <v>-13646</v>
      </c>
      <c r="V161" s="48">
        <f t="shared" si="19"/>
        <v>2881</v>
      </c>
      <c r="W161" s="48">
        <f>IF(R161=0,0,T161-O161)</f>
        <v>0</v>
      </c>
    </row>
    <row r="162" spans="10:23" ht="15">
      <c r="J162" s="204">
        <v>42278</v>
      </c>
      <c r="L162" s="48">
        <v>7</v>
      </c>
      <c r="M162" s="48">
        <f t="shared" si="16"/>
        <v>33220</v>
      </c>
      <c r="N162" s="48">
        <f>ROUND(M162*R44%,0)</f>
        <v>5048</v>
      </c>
      <c r="O162" s="48">
        <f t="shared" si="17"/>
        <v>3986</v>
      </c>
      <c r="P162" s="48">
        <f t="shared" si="20"/>
        <v>8969</v>
      </c>
      <c r="R162" s="48">
        <f>IF(ISNA(VLOOKUP(DATA!M162,DATA!$AG$6:$AH$79,2,0)),0,VLOOKUP(DATA!M162,DATA!$AG$6:$AH$79,2,0))</f>
        <v>33220</v>
      </c>
      <c r="S162" s="48">
        <f t="shared" si="18"/>
        <v>2959</v>
      </c>
      <c r="T162" s="48">
        <f t="shared" si="21"/>
        <v>3986</v>
      </c>
      <c r="U162" s="48">
        <f>IF(R162=0,0,R162-M162-N162-P162)</f>
        <v>-14017</v>
      </c>
      <c r="V162" s="48">
        <f t="shared" si="19"/>
        <v>2959</v>
      </c>
      <c r="W162" s="48">
        <f>IF(R162=0,0,T162-O162)</f>
        <v>0</v>
      </c>
    </row>
    <row r="163" ht="15">
      <c r="W163" s="48">
        <f>IF(R163=0,0,T163-O163)</f>
        <v>0</v>
      </c>
    </row>
    <row r="164" spans="19:23" ht="15">
      <c r="S164" s="420" t="s">
        <v>547</v>
      </c>
      <c r="T164" s="420"/>
      <c r="U164" s="420">
        <f>SUM(U156:U162)</f>
        <v>-177005</v>
      </c>
      <c r="V164" s="420">
        <f>SUM(V156:V162)</f>
        <v>20245</v>
      </c>
      <c r="W164" s="420">
        <f>SUM(W156:W162)</f>
        <v>0</v>
      </c>
    </row>
    <row r="165" spans="13:14" ht="15">
      <c r="M165" s="48">
        <v>1</v>
      </c>
      <c r="N165" s="48" t="str">
        <f>VLOOKUP(M165,M166:N168,2,0)</f>
        <v>July-2015</v>
      </c>
    </row>
    <row r="166" spans="13:14" ht="15">
      <c r="M166" s="48">
        <v>1</v>
      </c>
      <c r="N166" s="204" t="str">
        <f>"July"&amp;"-2015"</f>
        <v>July-2015</v>
      </c>
    </row>
    <row r="167" spans="13:14" ht="15">
      <c r="M167" s="48">
        <v>2</v>
      </c>
      <c r="N167" s="204" t="str">
        <f>"August"&amp;"-2015"</f>
        <v>August-2015</v>
      </c>
    </row>
    <row r="168" spans="13:14" ht="15">
      <c r="M168" s="48">
        <v>3</v>
      </c>
      <c r="N168" s="204" t="str">
        <f>"September"&amp;"-2015"</f>
        <v>September-2015</v>
      </c>
    </row>
    <row r="169" spans="13:14" ht="15">
      <c r="M169" s="48">
        <v>4</v>
      </c>
      <c r="N169" s="204" t="str">
        <f>"October"&amp;"-2015"</f>
        <v>October-2015</v>
      </c>
    </row>
    <row r="170" ht="30">
      <c r="M170" s="424" t="s">
        <v>590</v>
      </c>
    </row>
    <row r="171" spans="8:16" ht="15">
      <c r="H171" s="48" t="s">
        <v>0</v>
      </c>
      <c r="I171" s="48">
        <f>Q33</f>
        <v>8</v>
      </c>
      <c r="N171" s="48" t="s">
        <v>587</v>
      </c>
      <c r="O171" s="48" t="s">
        <v>56</v>
      </c>
      <c r="P171" s="48" t="s">
        <v>588</v>
      </c>
    </row>
    <row r="172" spans="8:16" ht="15">
      <c r="H172" s="48" t="s">
        <v>5</v>
      </c>
      <c r="I172" s="48">
        <f>Q32</f>
        <v>32340</v>
      </c>
      <c r="J172" s="48">
        <f>VLOOKUP(I172,$E$175:$F$254,2,0)</f>
        <v>31460</v>
      </c>
      <c r="N172" s="423">
        <v>15.196</v>
      </c>
      <c r="O172" s="423">
        <v>12.052</v>
      </c>
      <c r="P172" s="48">
        <f>N172-O172</f>
        <v>3.144</v>
      </c>
    </row>
    <row r="173" ht="15">
      <c r="J173" s="422"/>
    </row>
    <row r="174" spans="5:10" ht="15">
      <c r="E174"/>
      <c r="J174" s="204"/>
    </row>
    <row r="175" spans="5:10" ht="15">
      <c r="E175">
        <v>13390</v>
      </c>
      <c r="F175">
        <v>13000</v>
      </c>
      <c r="J175" s="422"/>
    </row>
    <row r="176" spans="5:10" ht="15">
      <c r="E176">
        <v>13740</v>
      </c>
      <c r="F176">
        <v>13390</v>
      </c>
      <c r="J176" s="204"/>
    </row>
    <row r="177" spans="5:10" ht="15">
      <c r="E177" s="419">
        <v>14170</v>
      </c>
      <c r="F177">
        <v>13740</v>
      </c>
      <c r="J177" s="422"/>
    </row>
    <row r="178" spans="5:10" ht="15">
      <c r="E178" s="419">
        <v>14600</v>
      </c>
      <c r="F178" s="419">
        <v>14170</v>
      </c>
      <c r="J178" s="204"/>
    </row>
    <row r="179" spans="5:16" ht="15">
      <c r="E179" s="419">
        <v>15030</v>
      </c>
      <c r="F179" s="419">
        <v>14600</v>
      </c>
      <c r="H179" s="48">
        <v>5</v>
      </c>
      <c r="I179" s="48">
        <f>IF(H179&gt;=$I$171,VLOOKUP($J$172,$AB$6:$AC$85,2,0),$J$172)</f>
        <v>31460</v>
      </c>
      <c r="J179" s="422">
        <v>42186</v>
      </c>
      <c r="M179" s="48">
        <f aca="true" t="shared" si="22" ref="M179:M185">IF(H179&gt;=$I$171,VLOOKUP($M$175,$AB$6:$AC$85,2,0),M178)</f>
        <v>0</v>
      </c>
      <c r="N179" s="48">
        <f>ROUND(I179*$N$172%,0)</f>
        <v>4781</v>
      </c>
      <c r="O179" s="48">
        <f aca="true" t="shared" si="23" ref="O179:O186">ROUND(I179*$O$172%,0)</f>
        <v>3792</v>
      </c>
      <c r="P179" s="48">
        <f aca="true" t="shared" si="24" ref="P179:P186">N179-O179</f>
        <v>989</v>
      </c>
    </row>
    <row r="180" spans="5:16" ht="15">
      <c r="E180" s="419">
        <v>15460</v>
      </c>
      <c r="F180" s="419">
        <v>15030</v>
      </c>
      <c r="H180" s="48">
        <v>6</v>
      </c>
      <c r="I180" s="48">
        <f aca="true" t="shared" si="25" ref="I180:I185">IF(H180&gt;=$I$171,VLOOKUP($J$172,$AB$6:$AC$85,2,0),$J$172)</f>
        <v>31460</v>
      </c>
      <c r="J180" s="204">
        <v>42217</v>
      </c>
      <c r="M180" s="48">
        <f t="shared" si="22"/>
        <v>0</v>
      </c>
      <c r="N180" s="48">
        <f aca="true" t="shared" si="26" ref="N180:N186">ROUND(I180*$N$172%,0)</f>
        <v>4781</v>
      </c>
      <c r="O180" s="48">
        <f t="shared" si="23"/>
        <v>3792</v>
      </c>
      <c r="P180" s="48">
        <f t="shared" si="24"/>
        <v>989</v>
      </c>
    </row>
    <row r="181" spans="5:16" ht="15">
      <c r="E181" s="419">
        <v>15930</v>
      </c>
      <c r="F181" s="419">
        <v>15460</v>
      </c>
      <c r="H181" s="48">
        <v>7</v>
      </c>
      <c r="I181" s="48">
        <f t="shared" si="25"/>
        <v>31460</v>
      </c>
      <c r="J181" s="422">
        <v>42248</v>
      </c>
      <c r="M181" s="48">
        <f t="shared" si="22"/>
        <v>0</v>
      </c>
      <c r="N181" s="48">
        <f t="shared" si="26"/>
        <v>4781</v>
      </c>
      <c r="O181" s="48">
        <f t="shared" si="23"/>
        <v>3792</v>
      </c>
      <c r="P181" s="48">
        <f t="shared" si="24"/>
        <v>989</v>
      </c>
    </row>
    <row r="182" spans="5:16" ht="15">
      <c r="E182" s="419">
        <v>16400</v>
      </c>
      <c r="F182" s="419">
        <v>15930</v>
      </c>
      <c r="H182" s="48">
        <v>8</v>
      </c>
      <c r="I182" s="48">
        <f t="shared" si="25"/>
        <v>32340</v>
      </c>
      <c r="J182" s="204">
        <v>42278</v>
      </c>
      <c r="M182" s="48" t="e">
        <f t="shared" si="22"/>
        <v>#N/A</v>
      </c>
      <c r="N182" s="48">
        <f t="shared" si="26"/>
        <v>4914</v>
      </c>
      <c r="O182" s="48">
        <f t="shared" si="23"/>
        <v>3898</v>
      </c>
      <c r="P182" s="48">
        <f t="shared" si="24"/>
        <v>1016</v>
      </c>
    </row>
    <row r="183" spans="5:16" ht="15">
      <c r="E183" s="419">
        <v>16870</v>
      </c>
      <c r="F183" s="419">
        <v>16400</v>
      </c>
      <c r="H183" s="48">
        <v>9</v>
      </c>
      <c r="I183" s="48">
        <f t="shared" si="25"/>
        <v>32340</v>
      </c>
      <c r="J183" s="422">
        <v>42309</v>
      </c>
      <c r="M183" s="48" t="e">
        <f t="shared" si="22"/>
        <v>#N/A</v>
      </c>
      <c r="N183" s="48">
        <f t="shared" si="26"/>
        <v>4914</v>
      </c>
      <c r="O183" s="48">
        <f t="shared" si="23"/>
        <v>3898</v>
      </c>
      <c r="P183" s="48">
        <f t="shared" si="24"/>
        <v>1016</v>
      </c>
    </row>
    <row r="184" spans="5:16" ht="15">
      <c r="E184" s="419">
        <v>17380</v>
      </c>
      <c r="F184" s="419">
        <v>16870</v>
      </c>
      <c r="H184" s="48">
        <v>10</v>
      </c>
      <c r="I184" s="48">
        <f t="shared" si="25"/>
        <v>32340</v>
      </c>
      <c r="J184" s="422">
        <v>42339</v>
      </c>
      <c r="M184" s="48" t="e">
        <f t="shared" si="22"/>
        <v>#N/A</v>
      </c>
      <c r="N184" s="48">
        <f t="shared" si="26"/>
        <v>4914</v>
      </c>
      <c r="O184" s="48">
        <f t="shared" si="23"/>
        <v>3898</v>
      </c>
      <c r="P184" s="48">
        <f t="shared" si="24"/>
        <v>1016</v>
      </c>
    </row>
    <row r="185" spans="5:16" ht="15">
      <c r="E185" s="419">
        <v>17890</v>
      </c>
      <c r="F185" s="419">
        <v>17380</v>
      </c>
      <c r="H185" s="48">
        <v>11</v>
      </c>
      <c r="I185" s="48">
        <f t="shared" si="25"/>
        <v>32340</v>
      </c>
      <c r="J185" s="204">
        <v>42370</v>
      </c>
      <c r="M185" s="48" t="e">
        <f t="shared" si="22"/>
        <v>#N/A</v>
      </c>
      <c r="N185" s="48">
        <f t="shared" si="26"/>
        <v>4914</v>
      </c>
      <c r="O185" s="48">
        <f t="shared" si="23"/>
        <v>3898</v>
      </c>
      <c r="P185" s="48">
        <f t="shared" si="24"/>
        <v>1016</v>
      </c>
    </row>
    <row r="186" spans="5:16" ht="15">
      <c r="E186" s="419">
        <v>18400</v>
      </c>
      <c r="F186" s="419">
        <v>17890</v>
      </c>
      <c r="H186" s="48">
        <v>12</v>
      </c>
      <c r="I186" s="48">
        <f>IF(H186&gt;=$I$171,VLOOKUP($J$172,$AB$6:$AC$85,2,0),$J$172)</f>
        <v>32340</v>
      </c>
      <c r="J186" s="422">
        <v>42401</v>
      </c>
      <c r="M186" s="48" t="e">
        <f>IF(H186&gt;=$I$171,VLOOKUP($M$175,$AB$6:$AC$85,2,0),M185)</f>
        <v>#N/A</v>
      </c>
      <c r="N186" s="48">
        <f t="shared" si="26"/>
        <v>4914</v>
      </c>
      <c r="O186" s="48">
        <f t="shared" si="23"/>
        <v>3898</v>
      </c>
      <c r="P186" s="48">
        <f t="shared" si="24"/>
        <v>1016</v>
      </c>
    </row>
    <row r="187" spans="5:16" ht="15">
      <c r="E187" s="419">
        <v>18950</v>
      </c>
      <c r="F187" s="419">
        <v>18400</v>
      </c>
      <c r="J187" s="48" t="str">
        <f>"No of Months DA Claimed "&amp;COUNT(J173:J186)</f>
        <v>No of Months DA Claimed 8</v>
      </c>
      <c r="O187" s="48" t="s">
        <v>163</v>
      </c>
      <c r="P187" s="211">
        <f>SUM(P173:P186)</f>
        <v>8047</v>
      </c>
    </row>
    <row r="188" spans="5:6" ht="15">
      <c r="E188" s="419">
        <v>19500</v>
      </c>
      <c r="F188" s="419">
        <v>18950</v>
      </c>
    </row>
    <row r="189" spans="5:6" ht="15">
      <c r="E189" s="419">
        <v>20050</v>
      </c>
      <c r="F189" s="419">
        <v>19500</v>
      </c>
    </row>
    <row r="190" spans="5:6" ht="15">
      <c r="E190" s="419">
        <v>20640</v>
      </c>
      <c r="F190" s="419">
        <v>20050</v>
      </c>
    </row>
    <row r="191" spans="5:9" ht="15">
      <c r="E191" s="419">
        <v>21230</v>
      </c>
      <c r="F191" s="419">
        <v>20640</v>
      </c>
      <c r="I191" s="48" t="s">
        <v>589</v>
      </c>
    </row>
    <row r="192" spans="5:16" ht="15">
      <c r="E192" s="419">
        <v>21820</v>
      </c>
      <c r="F192" s="419">
        <v>21230</v>
      </c>
      <c r="N192" s="48" t="s">
        <v>591</v>
      </c>
      <c r="O192" s="48" t="s">
        <v>535</v>
      </c>
      <c r="P192" s="48" t="s">
        <v>592</v>
      </c>
    </row>
    <row r="193" spans="5:16" ht="15">
      <c r="E193" s="419">
        <v>22460</v>
      </c>
      <c r="F193" s="419">
        <v>21820</v>
      </c>
      <c r="N193" s="48">
        <v>18.34</v>
      </c>
      <c r="O193" s="48">
        <v>15.196</v>
      </c>
      <c r="P193" s="48">
        <f>N193-O193</f>
        <v>3.144</v>
      </c>
    </row>
    <row r="194" spans="5:10" ht="15">
      <c r="E194" s="419">
        <v>23100</v>
      </c>
      <c r="F194" s="419">
        <v>22460</v>
      </c>
      <c r="J194" s="422"/>
    </row>
    <row r="195" spans="5:10" ht="15">
      <c r="E195" s="419">
        <v>23740</v>
      </c>
      <c r="F195" s="419">
        <v>23100</v>
      </c>
      <c r="J195" s="422"/>
    </row>
    <row r="196" spans="5:10" ht="15">
      <c r="E196" s="419">
        <v>24440</v>
      </c>
      <c r="F196" s="419">
        <v>23740</v>
      </c>
      <c r="J196" s="422"/>
    </row>
    <row r="197" spans="5:10" ht="15">
      <c r="E197" s="419">
        <v>25140</v>
      </c>
      <c r="F197" s="419">
        <v>24440</v>
      </c>
      <c r="J197" s="422"/>
    </row>
    <row r="198" spans="5:10" ht="15">
      <c r="E198" s="419">
        <v>25840</v>
      </c>
      <c r="F198" s="419">
        <v>25140</v>
      </c>
      <c r="J198" s="422"/>
    </row>
    <row r="199" spans="5:10" ht="15">
      <c r="E199" s="419">
        <v>26600</v>
      </c>
      <c r="F199" s="419">
        <v>25840</v>
      </c>
      <c r="J199" s="422"/>
    </row>
    <row r="200" spans="5:16" ht="15">
      <c r="E200" s="419">
        <v>27360</v>
      </c>
      <c r="F200" s="419">
        <v>26600</v>
      </c>
      <c r="H200" s="48">
        <v>7</v>
      </c>
      <c r="I200" s="48">
        <f>I185</f>
        <v>32340</v>
      </c>
      <c r="J200" s="422">
        <f>J185</f>
        <v>42370</v>
      </c>
      <c r="N200" s="48">
        <f aca="true" t="shared" si="27" ref="N200:N205">ROUND(I200*$N$193%,0)</f>
        <v>5931</v>
      </c>
      <c r="O200" s="48">
        <f aca="true" t="shared" si="28" ref="O200:O208">ROUND(I200*$O$193%,0)</f>
        <v>4914</v>
      </c>
      <c r="P200" s="48">
        <f aca="true" t="shared" si="29" ref="P200:P208">N200-O200</f>
        <v>1017</v>
      </c>
    </row>
    <row r="201" spans="5:16" ht="15">
      <c r="E201" s="419">
        <v>28120</v>
      </c>
      <c r="F201" s="419">
        <v>27360</v>
      </c>
      <c r="H201" s="48">
        <v>8</v>
      </c>
      <c r="I201" s="48">
        <f>I186</f>
        <v>32340</v>
      </c>
      <c r="J201" s="422">
        <f>J186</f>
        <v>42401</v>
      </c>
      <c r="N201" s="48">
        <f t="shared" si="27"/>
        <v>5931</v>
      </c>
      <c r="O201" s="48">
        <f t="shared" si="28"/>
        <v>4914</v>
      </c>
      <c r="P201" s="48">
        <f t="shared" si="29"/>
        <v>1017</v>
      </c>
    </row>
    <row r="202" spans="5:16" ht="15">
      <c r="E202" s="419">
        <v>28940</v>
      </c>
      <c r="F202" s="419">
        <v>28120</v>
      </c>
      <c r="H202" s="48">
        <v>9</v>
      </c>
      <c r="I202" s="48">
        <f aca="true" t="shared" si="30" ref="I202:I208">P37</f>
        <v>32340</v>
      </c>
      <c r="J202" s="422">
        <v>42430</v>
      </c>
      <c r="N202" s="48">
        <f t="shared" si="27"/>
        <v>5931</v>
      </c>
      <c r="O202" s="48">
        <f t="shared" si="28"/>
        <v>4914</v>
      </c>
      <c r="P202" s="48">
        <f t="shared" si="29"/>
        <v>1017</v>
      </c>
    </row>
    <row r="203" spans="5:16" ht="15">
      <c r="E203" s="419">
        <v>29760</v>
      </c>
      <c r="F203" s="419">
        <v>28940</v>
      </c>
      <c r="H203" s="48">
        <v>10</v>
      </c>
      <c r="I203" s="48">
        <f t="shared" si="30"/>
        <v>32340</v>
      </c>
      <c r="J203" s="422">
        <v>42461</v>
      </c>
      <c r="N203" s="48">
        <f t="shared" si="27"/>
        <v>5931</v>
      </c>
      <c r="O203" s="48">
        <f t="shared" si="28"/>
        <v>4914</v>
      </c>
      <c r="P203" s="48">
        <f t="shared" si="29"/>
        <v>1017</v>
      </c>
    </row>
    <row r="204" spans="5:16" ht="15">
      <c r="E204" s="419">
        <v>30580</v>
      </c>
      <c r="F204" s="419">
        <v>29760</v>
      </c>
      <c r="H204" s="48">
        <v>11</v>
      </c>
      <c r="I204" s="48">
        <f t="shared" si="30"/>
        <v>32340</v>
      </c>
      <c r="J204" s="422">
        <v>42491</v>
      </c>
      <c r="N204" s="48">
        <f t="shared" si="27"/>
        <v>5931</v>
      </c>
      <c r="O204" s="48">
        <f t="shared" si="28"/>
        <v>4914</v>
      </c>
      <c r="P204" s="48">
        <f t="shared" si="29"/>
        <v>1017</v>
      </c>
    </row>
    <row r="205" spans="5:16" ht="15">
      <c r="E205" s="419">
        <v>31460</v>
      </c>
      <c r="F205" s="419">
        <v>30580</v>
      </c>
      <c r="H205" s="48">
        <v>12</v>
      </c>
      <c r="I205" s="48">
        <f t="shared" si="30"/>
        <v>32340</v>
      </c>
      <c r="J205" s="422">
        <v>42522</v>
      </c>
      <c r="N205" s="48">
        <f t="shared" si="27"/>
        <v>5931</v>
      </c>
      <c r="O205" s="48">
        <f t="shared" si="28"/>
        <v>4914</v>
      </c>
      <c r="P205" s="48">
        <f t="shared" si="29"/>
        <v>1017</v>
      </c>
    </row>
    <row r="206" spans="5:16" ht="15">
      <c r="E206" s="419">
        <v>32340</v>
      </c>
      <c r="F206" s="419">
        <v>31460</v>
      </c>
      <c r="H206" s="48">
        <v>13</v>
      </c>
      <c r="I206" s="48">
        <f t="shared" si="30"/>
        <v>32340</v>
      </c>
      <c r="J206" s="422">
        <v>42552</v>
      </c>
      <c r="N206" s="48">
        <f>ROUND(I206*$N$193%,0)</f>
        <v>5931</v>
      </c>
      <c r="O206" s="48">
        <f t="shared" si="28"/>
        <v>4914</v>
      </c>
      <c r="P206" s="48">
        <f t="shared" si="29"/>
        <v>1017</v>
      </c>
    </row>
    <row r="207" spans="5:16" ht="15">
      <c r="E207" s="419">
        <v>33220</v>
      </c>
      <c r="F207" s="419">
        <v>32340</v>
      </c>
      <c r="I207" s="48">
        <f t="shared" si="30"/>
        <v>32340</v>
      </c>
      <c r="J207" s="204">
        <v>42583</v>
      </c>
      <c r="N207" s="48">
        <f>ROUND(I207*$N$193%,0)</f>
        <v>5931</v>
      </c>
      <c r="O207" s="48">
        <f t="shared" si="28"/>
        <v>4914</v>
      </c>
      <c r="P207" s="48">
        <f t="shared" si="29"/>
        <v>1017</v>
      </c>
    </row>
    <row r="208" spans="5:16" ht="15">
      <c r="E208" s="419">
        <v>34170</v>
      </c>
      <c r="F208" s="419">
        <v>33220</v>
      </c>
      <c r="I208" s="48">
        <f t="shared" si="30"/>
        <v>32340</v>
      </c>
      <c r="J208" s="204">
        <v>42614</v>
      </c>
      <c r="N208" s="48">
        <f>ROUND(I208*$N$193%,0)</f>
        <v>5931</v>
      </c>
      <c r="O208" s="48">
        <f t="shared" si="28"/>
        <v>4914</v>
      </c>
      <c r="P208" s="48">
        <f t="shared" si="29"/>
        <v>1017</v>
      </c>
    </row>
    <row r="209" spans="5:16" ht="15">
      <c r="E209" s="419">
        <v>35120</v>
      </c>
      <c r="F209" s="419">
        <v>34170</v>
      </c>
      <c r="O209" s="48" t="s">
        <v>596</v>
      </c>
      <c r="P209" s="48">
        <f>SUM(P200:P208)</f>
        <v>9153</v>
      </c>
    </row>
    <row r="210" spans="5:6" ht="15">
      <c r="E210" s="419">
        <v>36070</v>
      </c>
      <c r="F210" s="419">
        <v>35120</v>
      </c>
    </row>
    <row r="211" spans="5:6" ht="15">
      <c r="E211" s="419">
        <v>37100</v>
      </c>
      <c r="F211" s="419">
        <v>36070</v>
      </c>
    </row>
    <row r="212" spans="5:6" ht="15">
      <c r="E212" s="419">
        <v>38130</v>
      </c>
      <c r="F212" s="419">
        <v>37100</v>
      </c>
    </row>
    <row r="213" spans="5:6" ht="15">
      <c r="E213" s="419">
        <v>39160</v>
      </c>
      <c r="F213" s="419">
        <v>38130</v>
      </c>
    </row>
    <row r="214" spans="5:6" ht="15">
      <c r="E214" s="419">
        <v>40270</v>
      </c>
      <c r="F214" s="419">
        <v>39160</v>
      </c>
    </row>
    <row r="215" spans="5:6" ht="15">
      <c r="E215" s="419">
        <v>41380</v>
      </c>
      <c r="F215" s="419">
        <v>40270</v>
      </c>
    </row>
    <row r="216" spans="5:6" ht="15">
      <c r="E216" s="419">
        <v>42490</v>
      </c>
      <c r="F216" s="419">
        <v>41380</v>
      </c>
    </row>
    <row r="217" spans="5:6" ht="15">
      <c r="E217" s="419">
        <v>43680</v>
      </c>
      <c r="F217" s="419">
        <v>42490</v>
      </c>
    </row>
    <row r="218" spans="5:6" ht="15">
      <c r="E218" s="419">
        <v>44870</v>
      </c>
      <c r="F218" s="419">
        <v>43680</v>
      </c>
    </row>
    <row r="219" spans="5:6" ht="15">
      <c r="E219" s="419">
        <v>46060</v>
      </c>
      <c r="F219" s="419">
        <v>44870</v>
      </c>
    </row>
    <row r="220" spans="5:6" ht="15">
      <c r="E220" s="419">
        <v>47330</v>
      </c>
      <c r="F220" s="419">
        <v>46060</v>
      </c>
    </row>
    <row r="221" spans="5:6" ht="15">
      <c r="E221" s="419">
        <v>48600</v>
      </c>
      <c r="F221" s="419">
        <v>47330</v>
      </c>
    </row>
    <row r="222" spans="5:6" ht="15">
      <c r="E222" s="419">
        <v>49870</v>
      </c>
      <c r="F222" s="419">
        <v>48600</v>
      </c>
    </row>
    <row r="223" spans="5:6" ht="15">
      <c r="E223" s="419">
        <v>51230</v>
      </c>
      <c r="F223" s="419">
        <v>49870</v>
      </c>
    </row>
    <row r="224" spans="5:6" ht="15">
      <c r="E224" s="419">
        <v>52590</v>
      </c>
      <c r="F224" s="419">
        <v>51230</v>
      </c>
    </row>
    <row r="225" spans="5:6" ht="15">
      <c r="E225" s="419">
        <v>53950</v>
      </c>
      <c r="F225" s="419">
        <v>52590</v>
      </c>
    </row>
    <row r="226" spans="5:6" ht="15">
      <c r="E226" s="419">
        <v>55410</v>
      </c>
      <c r="F226" s="419">
        <v>53950</v>
      </c>
    </row>
    <row r="227" spans="5:6" ht="15">
      <c r="E227" s="419">
        <v>56870</v>
      </c>
      <c r="F227" s="419">
        <v>55410</v>
      </c>
    </row>
    <row r="228" spans="5:6" ht="15">
      <c r="E228" s="419">
        <v>58330</v>
      </c>
      <c r="F228" s="419">
        <v>56870</v>
      </c>
    </row>
    <row r="229" spans="5:6" ht="15">
      <c r="E229" s="419">
        <v>59890</v>
      </c>
      <c r="F229" s="419">
        <v>58330</v>
      </c>
    </row>
    <row r="230" spans="5:6" ht="15">
      <c r="E230" s="419">
        <v>61450</v>
      </c>
      <c r="F230" s="419">
        <v>59890</v>
      </c>
    </row>
    <row r="231" spans="5:6" ht="15">
      <c r="E231" s="419">
        <v>63010</v>
      </c>
      <c r="F231" s="419">
        <v>61450</v>
      </c>
    </row>
    <row r="232" spans="5:6" ht="15">
      <c r="E232" s="419">
        <v>64670</v>
      </c>
      <c r="F232" s="419">
        <v>63010</v>
      </c>
    </row>
    <row r="233" spans="5:6" ht="15">
      <c r="E233" s="419">
        <v>66330</v>
      </c>
      <c r="F233" s="419">
        <v>64670</v>
      </c>
    </row>
    <row r="234" spans="5:6" ht="15">
      <c r="E234" s="419">
        <v>67990</v>
      </c>
      <c r="F234" s="419">
        <v>66330</v>
      </c>
    </row>
    <row r="235" spans="5:6" ht="15">
      <c r="E235" s="419">
        <v>69750</v>
      </c>
      <c r="F235" s="419">
        <v>67990</v>
      </c>
    </row>
    <row r="236" spans="5:6" ht="15">
      <c r="E236" s="419">
        <v>71510</v>
      </c>
      <c r="F236" s="419">
        <v>69750</v>
      </c>
    </row>
    <row r="237" spans="5:6" ht="15">
      <c r="E237" s="419">
        <v>73270</v>
      </c>
      <c r="F237" s="419">
        <v>71510</v>
      </c>
    </row>
    <row r="238" spans="5:6" ht="15">
      <c r="E238" s="419">
        <v>75150</v>
      </c>
      <c r="F238" s="419">
        <v>73270</v>
      </c>
    </row>
    <row r="239" spans="5:6" ht="15">
      <c r="E239" s="419">
        <v>77030</v>
      </c>
      <c r="F239" s="419">
        <v>75150</v>
      </c>
    </row>
    <row r="240" spans="5:6" ht="15">
      <c r="E240" s="419">
        <v>78910</v>
      </c>
      <c r="F240" s="419">
        <v>77030</v>
      </c>
    </row>
    <row r="241" spans="5:6" ht="15">
      <c r="E241" s="419">
        <v>80930</v>
      </c>
      <c r="F241" s="419">
        <v>78910</v>
      </c>
    </row>
    <row r="242" spans="5:6" ht="15">
      <c r="E242" s="419">
        <v>82950</v>
      </c>
      <c r="F242" s="419">
        <v>80930</v>
      </c>
    </row>
    <row r="243" spans="5:6" ht="15">
      <c r="E243" s="419">
        <v>84970</v>
      </c>
      <c r="F243" s="419">
        <v>82950</v>
      </c>
    </row>
    <row r="244" spans="5:6" ht="15">
      <c r="E244" s="419">
        <v>89130</v>
      </c>
      <c r="F244" s="419">
        <v>84970</v>
      </c>
    </row>
    <row r="245" spans="5:6" ht="15">
      <c r="E245" s="419">
        <v>89130</v>
      </c>
      <c r="F245" s="419">
        <v>89130</v>
      </c>
    </row>
    <row r="246" spans="5:6" ht="15">
      <c r="E246" s="419">
        <v>91450</v>
      </c>
      <c r="F246" s="419">
        <v>89130</v>
      </c>
    </row>
    <row r="247" spans="5:6" ht="15">
      <c r="E247" s="419">
        <v>93780</v>
      </c>
      <c r="F247" s="419">
        <v>91450</v>
      </c>
    </row>
    <row r="248" spans="5:6" ht="15">
      <c r="E248" s="419">
        <v>96110</v>
      </c>
      <c r="F248" s="419">
        <v>93780</v>
      </c>
    </row>
    <row r="249" spans="5:6" ht="15">
      <c r="E249" s="419">
        <v>98440</v>
      </c>
      <c r="F249" s="419">
        <v>96110</v>
      </c>
    </row>
    <row r="250" spans="5:6" ht="15">
      <c r="E250" s="419">
        <v>100770</v>
      </c>
      <c r="F250" s="419">
        <v>98440</v>
      </c>
    </row>
    <row r="251" spans="5:6" ht="15">
      <c r="E251" s="419">
        <v>103290</v>
      </c>
      <c r="F251" s="419">
        <v>100770</v>
      </c>
    </row>
    <row r="252" spans="5:6" ht="15">
      <c r="E252" s="419">
        <v>105810</v>
      </c>
      <c r="F252" s="419">
        <v>103290</v>
      </c>
    </row>
    <row r="253" spans="5:6" ht="15">
      <c r="E253" s="419">
        <v>108330</v>
      </c>
      <c r="F253" s="419">
        <v>105810</v>
      </c>
    </row>
    <row r="254" spans="5:6" ht="15">
      <c r="E254" s="419">
        <v>110850</v>
      </c>
      <c r="F254" s="419">
        <v>108330</v>
      </c>
    </row>
    <row r="255" ht="15">
      <c r="F255" s="419">
        <v>110850</v>
      </c>
    </row>
  </sheetData>
  <sheetProtection password="92B2" sheet="1" selectLockedCells="1"/>
  <mergeCells count="112">
    <mergeCell ref="BH6:BJ14"/>
    <mergeCell ref="AN10:AR10"/>
    <mergeCell ref="AP13:AT13"/>
    <mergeCell ref="AJ2:AZ2"/>
    <mergeCell ref="AJ9:AL9"/>
    <mergeCell ref="AJ3:AM3"/>
    <mergeCell ref="AN3:AU3"/>
    <mergeCell ref="AX5:AZ5"/>
    <mergeCell ref="AY6:AZ6"/>
    <mergeCell ref="AV3:AW3"/>
    <mergeCell ref="AJ13:AN13"/>
    <mergeCell ref="AP18:AT18"/>
    <mergeCell ref="AU12:AW12"/>
    <mergeCell ref="AT4:AV4"/>
    <mergeCell ref="AO7:AR7"/>
    <mergeCell ref="AW8:AX8"/>
    <mergeCell ref="AJ8:AL8"/>
    <mergeCell ref="AN8:AQ8"/>
    <mergeCell ref="AM4:AQ4"/>
    <mergeCell ref="AR4:AS4"/>
    <mergeCell ref="BA2:BA6"/>
    <mergeCell ref="AX3:AZ3"/>
    <mergeCell ref="AU10:AX10"/>
    <mergeCell ref="AV9:AW9"/>
    <mergeCell ref="AT5:AW5"/>
    <mergeCell ref="BF9:BG9"/>
    <mergeCell ref="BF10:BG10"/>
    <mergeCell ref="AY4:AZ4"/>
    <mergeCell ref="AW4:AX4"/>
    <mergeCell ref="AX9:AY9"/>
    <mergeCell ref="BB11:BG11"/>
    <mergeCell ref="AU11:AX11"/>
    <mergeCell ref="BA15:BA18"/>
    <mergeCell ref="AU20:AW20"/>
    <mergeCell ref="AX20:AY20"/>
    <mergeCell ref="BA7:BA12"/>
    <mergeCell ref="AX12:AY12"/>
    <mergeCell ref="BB12:BG12"/>
    <mergeCell ref="AX7:AZ7"/>
    <mergeCell ref="AX14:AY14"/>
    <mergeCell ref="AS21:AT21"/>
    <mergeCell ref="AU17:AW17"/>
    <mergeCell ref="BB6:BG8"/>
    <mergeCell ref="BA20:BA23"/>
    <mergeCell ref="AX19:AY19"/>
    <mergeCell ref="AX18:AY18"/>
    <mergeCell ref="BB18:BG18"/>
    <mergeCell ref="AW21:AX21"/>
    <mergeCell ref="AT8:AU8"/>
    <mergeCell ref="AY8:AZ8"/>
    <mergeCell ref="AJ6:AL6"/>
    <mergeCell ref="AP5:AQ5"/>
    <mergeCell ref="AI4:AI10"/>
    <mergeCell ref="AJ4:AL4"/>
    <mergeCell ref="AM9:AO9"/>
    <mergeCell ref="AP19:AT19"/>
    <mergeCell ref="AJ11:AL11"/>
    <mergeCell ref="AN11:AR11"/>
    <mergeCell ref="AQ9:AS9"/>
    <mergeCell ref="AJ7:AL7"/>
    <mergeCell ref="AU13:AW13"/>
    <mergeCell ref="AX15:AY15"/>
    <mergeCell ref="AX13:AZ13"/>
    <mergeCell ref="AU18:AW18"/>
    <mergeCell ref="AU16:AW16"/>
    <mergeCell ref="AU14:AW14"/>
    <mergeCell ref="B31:C31"/>
    <mergeCell ref="AJ23:AL23"/>
    <mergeCell ref="H31:K31"/>
    <mergeCell ref="AP22:AS22"/>
    <mergeCell ref="AT23:AW23"/>
    <mergeCell ref="AJ24:AL24"/>
    <mergeCell ref="AJ10:AL10"/>
    <mergeCell ref="AX16:AY16"/>
    <mergeCell ref="AU15:AW15"/>
    <mergeCell ref="D31:G31"/>
    <mergeCell ref="AL22:AM22"/>
    <mergeCell ref="AR23:AS23"/>
    <mergeCell ref="AV22:AZ22"/>
    <mergeCell ref="AX23:AZ23"/>
    <mergeCell ref="AT22:AU22"/>
    <mergeCell ref="AN22:AO22"/>
    <mergeCell ref="AI11:AI19"/>
    <mergeCell ref="AP20:AT20"/>
    <mergeCell ref="C138:G138"/>
    <mergeCell ref="B32:C32"/>
    <mergeCell ref="AJ22:AK22"/>
    <mergeCell ref="AU19:AW19"/>
    <mergeCell ref="C137:G137"/>
    <mergeCell ref="O73:P73"/>
    <mergeCell ref="R111:U111"/>
    <mergeCell ref="V111:Y111"/>
    <mergeCell ref="AP21:AQ21"/>
    <mergeCell ref="AJ21:AK21"/>
    <mergeCell ref="C139:G139"/>
    <mergeCell ref="I108:P108"/>
    <mergeCell ref="AI25:BG25"/>
    <mergeCell ref="AM23:AQ23"/>
    <mergeCell ref="Z111:AC111"/>
    <mergeCell ref="AI26:BG27"/>
    <mergeCell ref="AU21:AV21"/>
    <mergeCell ref="AM21:AN21"/>
    <mergeCell ref="BH1:BJ1"/>
    <mergeCell ref="BH2:BJ5"/>
    <mergeCell ref="M154:P154"/>
    <mergeCell ref="Q154:T154"/>
    <mergeCell ref="U154:X154"/>
    <mergeCell ref="AJ5:AO5"/>
    <mergeCell ref="AK12:AL12"/>
    <mergeCell ref="AN12:AO12"/>
    <mergeCell ref="AM24:AZ24"/>
    <mergeCell ref="AX17:AY17"/>
  </mergeCells>
  <dataValidations count="11">
    <dataValidation type="whole" allowBlank="1" showInputMessage="1" showErrorMessage="1" promptTitle="Warning" prompt="Dont enter above Rs:200000/-" sqref="AU13:AW13">
      <formula1>0</formula1>
      <formula2>200000</formula2>
    </dataValidation>
    <dataValidation type="whole" allowBlank="1" showInputMessage="1" showErrorMessage="1" promptTitle="www.apteacher.net" prompt="Sould not exceed Rs:20000/-" sqref="AO13">
      <formula1>0</formula1>
      <formula2>20000</formula2>
    </dataValidation>
    <dataValidation type="whole" allowBlank="1" showInputMessage="1" showErrorMessage="1" promptTitle="Medical Treatment" prompt="Medical Treatment U/s 80 DDB upto Rs:40000/-(or Rs:60000/- including that dependent senior citizens[Enlose form 10-I]" sqref="AU19:AW19">
      <formula1>0</formula1>
      <formula2>60000</formula2>
    </dataValidation>
    <dataValidation allowBlank="1" showInputMessage="1" showErrorMessage="1" promptTitle="Hadicaped Dependent:" prompt="Deduction in respect of deposit made or maintenance and expenditure for treatment of Handicapped dependent U/s 80DD upto Rs 50000/-(for severe disablity upto Rs:100000/-)&#10;" sqref="AU20:AW20"/>
    <dataValidation type="whole" allowBlank="1" showInputMessage="1" showErrorMessage="1" promptTitle="Tution fee concession" prompt="Not Exceed upto Rs:10000/- " sqref="AZ12">
      <formula1>0</formula1>
      <formula2>10000</formula2>
    </dataValidation>
    <dataValidation allowBlank="1" showInputMessage="1" showErrorMessage="1" promptTitle="www.apteacher.net" prompt="AAS arreas before February-2011" sqref="AJ21:AK21"/>
    <dataValidation allowBlank="1" showInputMessage="1" showErrorMessage="1" promptTitle="Adjusted PF/CSS" prompt="Adjusted PF/CSS" sqref="AW21:AX21"/>
    <dataValidation allowBlank="1" showInputMessage="1" showErrorMessage="1" promptTitle="www.apteacher.net" prompt="Arrears if any" sqref="AP21:AQ21 AS21:AT21"/>
    <dataValidation type="whole" allowBlank="1" showInputMessage="1" showErrorMessage="1" promptTitle="Do u want edit Home Rent ? " prompt="If u want enter house rent other than Suggested rent , then only use this to edit, other wise left blank. Rent shoud be multiples of 100 ie like 3600, 3700,4100,4700 not like 3652,4962.." errorTitle="Enter valid house rent" error="Please enter valid rent." sqref="BF10:BG10">
      <formula1>3000</formula1>
      <formula2>20000</formula2>
    </dataValidation>
    <dataValidation allowBlank="1" showInputMessage="1" showErrorMessage="1" promptTitle="Enter Monthly LIC Subscriptions" prompt="Enter Salry Deductable LIC only, Enter monthly LIC subscriptions through Salary(Dont enter APGLI HERE)" sqref="AN12:AO12"/>
    <dataValidation allowBlank="1" showInputMessage="1" showErrorMessage="1" promptTitle="RGESS" prompt="Maximum Limit is Rs 50,000/-" sqref="AU18:AW18"/>
  </dataValidations>
  <hyperlinks>
    <hyperlink ref="AI11" r:id="rId1" display="www.itaxplans.com"/>
  </hyperlinks>
  <printOptions/>
  <pageMargins left="0.7" right="0.7" top="0.75" bottom="0.75" header="0.3" footer="0.3"/>
  <pageSetup horizontalDpi="600" verticalDpi="600" orientation="portrait" paperSize="9" r:id="rId5"/>
  <ignoredErrors>
    <ignoredError sqref="R74" emptyCellReference="1"/>
  </ignoredErrors>
  <drawing r:id="rId4"/>
  <legacyDrawing r:id="rId3"/>
</worksheet>
</file>

<file path=xl/worksheets/sheet3.xml><?xml version="1.0" encoding="utf-8"?>
<worksheet xmlns="http://schemas.openxmlformats.org/spreadsheetml/2006/main" xmlns:r="http://schemas.openxmlformats.org/officeDocument/2006/relationships">
  <sheetPr codeName="Sheet2">
    <tabColor theme="3"/>
    <pageSetUpPr fitToPage="1"/>
  </sheetPr>
  <dimension ref="A1:Z29"/>
  <sheetViews>
    <sheetView showGridLines="0" showRowColHeaders="0" workbookViewId="0" topLeftCell="A1">
      <selection activeCell="D18" sqref="D18"/>
    </sheetView>
  </sheetViews>
  <sheetFormatPr defaultColWidth="9.140625" defaultRowHeight="15"/>
  <cols>
    <col min="1" max="1" width="4.8515625" style="0" customWidth="1"/>
    <col min="2" max="2" width="12.140625" style="0" customWidth="1"/>
    <col min="3" max="3" width="9.28125" style="0" customWidth="1"/>
    <col min="4" max="5" width="9.8515625" style="0" customWidth="1"/>
    <col min="6" max="6" width="6.8515625" style="0" customWidth="1"/>
    <col min="7" max="7" width="6.28125" style="0" customWidth="1"/>
    <col min="8" max="8" width="5.7109375" style="0" bestFit="1" customWidth="1"/>
    <col min="9" max="9" width="5.57421875" style="0" customWidth="1"/>
    <col min="10" max="10" width="6.57421875" style="0" bestFit="1" customWidth="1"/>
    <col min="11" max="11" width="6.00390625" style="0" customWidth="1"/>
    <col min="12" max="12" width="5.8515625" style="0" customWidth="1"/>
    <col min="13" max="13" width="10.00390625" style="0" customWidth="1"/>
    <col min="14" max="14" width="7.8515625" style="0" customWidth="1"/>
    <col min="15" max="15" width="9.140625" style="0" customWidth="1"/>
    <col min="16" max="18" width="6.421875" style="0" customWidth="1"/>
    <col min="19" max="19" width="8.57421875" style="0" customWidth="1"/>
  </cols>
  <sheetData>
    <row r="1" spans="1:20" ht="15.75">
      <c r="A1" s="619" t="str">
        <f>"Salary Particulars of   "&amp;DATA!AN3&amp;", "&amp;DATA!AX3&amp;", "&amp;DATA!AM4&amp;", "&amp;DATA!AT4&amp;" Mandal"</f>
        <v>Salary Particulars of   G Kishore, SGT, MPPS Chenganapalle, Irala Mandal</v>
      </c>
      <c r="B1" s="619"/>
      <c r="C1" s="619"/>
      <c r="D1" s="619"/>
      <c r="E1" s="619"/>
      <c r="F1" s="619"/>
      <c r="G1" s="619"/>
      <c r="H1" s="619"/>
      <c r="I1" s="619"/>
      <c r="J1" s="619"/>
      <c r="K1" s="619"/>
      <c r="L1" s="619"/>
      <c r="M1" s="619"/>
      <c r="N1" s="619"/>
      <c r="O1" s="619"/>
      <c r="P1" s="619"/>
      <c r="Q1" s="619"/>
      <c r="R1" s="619"/>
      <c r="S1" s="619"/>
      <c r="T1" s="619"/>
    </row>
    <row r="2" spans="1:20" ht="9.75" customHeight="1">
      <c r="A2" s="35"/>
      <c r="B2" s="35"/>
      <c r="C2" s="36"/>
      <c r="D2" s="36"/>
      <c r="E2" s="36"/>
      <c r="F2" s="36"/>
      <c r="G2" s="36"/>
      <c r="H2" s="36"/>
      <c r="I2" s="36"/>
      <c r="J2" s="36"/>
      <c r="K2" s="36"/>
      <c r="L2" s="36"/>
      <c r="M2" s="36"/>
      <c r="N2" s="36"/>
      <c r="O2" s="36"/>
      <c r="P2" s="36"/>
      <c r="Q2" s="36"/>
      <c r="R2" s="36"/>
      <c r="S2" s="36"/>
      <c r="T2" s="36"/>
    </row>
    <row r="3" spans="1:20" ht="40.5">
      <c r="A3" s="307" t="s">
        <v>20</v>
      </c>
      <c r="B3" s="307" t="s">
        <v>11</v>
      </c>
      <c r="C3" s="307" t="s">
        <v>21</v>
      </c>
      <c r="D3" s="307" t="s">
        <v>17</v>
      </c>
      <c r="E3" s="307" t="s">
        <v>12</v>
      </c>
      <c r="F3" s="307" t="str">
        <f>IF(DATA!V6=1,"HMA","AHRA")</f>
        <v>HMA</v>
      </c>
      <c r="G3" s="307" t="s">
        <v>22</v>
      </c>
      <c r="H3" s="307" t="s">
        <v>23</v>
      </c>
      <c r="I3" s="307" t="s">
        <v>599</v>
      </c>
      <c r="J3" s="307" t="str">
        <f>IF(DATA!AM53=1,"Others",IF(DATA!AM53=2,"TG Incre",""))</f>
        <v>Others</v>
      </c>
      <c r="K3" s="307" t="s">
        <v>25</v>
      </c>
      <c r="L3" s="307" t="s">
        <v>26</v>
      </c>
      <c r="M3" s="307" t="s">
        <v>27</v>
      </c>
      <c r="N3" s="307" t="str">
        <f>IF(DATA!$Q$74=3,"CPS",IF(DATA!$Q$74=2,"GPS","ZPGPF"))</f>
        <v>ZPGPF</v>
      </c>
      <c r="O3" s="307" t="s">
        <v>89</v>
      </c>
      <c r="P3" s="307" t="s">
        <v>28</v>
      </c>
      <c r="Q3" s="307" t="s">
        <v>29</v>
      </c>
      <c r="R3" s="307" t="str">
        <f>IF(DATA!AM53=1,"EHF","Others")</f>
        <v>EHF</v>
      </c>
      <c r="S3" s="307" t="s">
        <v>332</v>
      </c>
      <c r="T3" s="307" t="str">
        <f>IF(DATA!AN12=0,"Total Deductions","LIC")</f>
        <v>Total Deductions</v>
      </c>
    </row>
    <row r="4" spans="1:20" ht="15">
      <c r="A4" s="38">
        <v>1</v>
      </c>
      <c r="B4" s="39">
        <v>42430</v>
      </c>
      <c r="C4" s="38">
        <f>DATA!P37</f>
        <v>32340</v>
      </c>
      <c r="D4" s="38">
        <f>IF(C4="","",ROUND(C4*DATA!R37/100,0.1))</f>
        <v>3898</v>
      </c>
      <c r="E4" s="38">
        <f>ROUND(C4*DATA!F71%,0)</f>
        <v>3881</v>
      </c>
      <c r="F4" s="38">
        <f>IF(DATA!$V$6=1,DATA!$AU$6,IF(C4&gt;12190,1000,ROUND(C4*8%,0)))</f>
        <v>0</v>
      </c>
      <c r="G4" s="38">
        <f>DATA!$AO$6</f>
        <v>0</v>
      </c>
      <c r="H4" s="38">
        <f>DATA!$AQ$6</f>
        <v>0</v>
      </c>
      <c r="I4" s="38">
        <f>DATA!$AP$5</f>
        <v>270</v>
      </c>
      <c r="J4" s="38">
        <f>IF(DATA!$AM$53=2,"",DATA!$AS$6)</f>
        <v>0</v>
      </c>
      <c r="K4" s="38">
        <f>DATA!$AY$6</f>
        <v>0</v>
      </c>
      <c r="L4" s="40">
        <f>IF(AND(DATA!$O$74=1,ROUND('Salary Details'!C4*10%,0)&lt;900),ROUND('Salary Details'!C4*10%,0),IF(AND(DATA!$O$74=1,ROUND('Salary Details'!C4*10%,0)&gt;=900),900,0))</f>
        <v>0</v>
      </c>
      <c r="M4" s="38">
        <f>SUM(C4:L4)</f>
        <v>40389</v>
      </c>
      <c r="N4" s="38">
        <f>IF(DATA!$Q$74=3,ROUND(('Salary Details'!C4+'Salary Details'!D4)*10%,0),DATA!S37)</f>
        <v>12000</v>
      </c>
      <c r="O4" s="38">
        <f>DATA!T37</f>
        <v>450</v>
      </c>
      <c r="P4" s="38">
        <f>DATA!U37</f>
        <v>60</v>
      </c>
      <c r="Q4" s="41">
        <f>IF(DATA!$O$74=1,0,IF(AND(M4&gt;5000,M4&lt;=6000),60,IF(AND(M4&gt;6000,M4&lt;=10000),80,IF(AND(M4&gt;10000,M4&lt;=15000),100,IF(AND(M4&gt;15000,M4&lt;=20000),150,IF(AND(M4&gt;20000),200))))))</f>
        <v>200</v>
      </c>
      <c r="R4" s="41">
        <f>DATA!T$60</f>
        <v>90</v>
      </c>
      <c r="S4" s="38">
        <f>DATA!AQ12</f>
        <v>20</v>
      </c>
      <c r="T4" s="38">
        <f>IF(DATA!$AN$12=0,SUM(N4:S4),DATA!$AN$12)</f>
        <v>12820</v>
      </c>
    </row>
    <row r="5" spans="1:20" ht="15">
      <c r="A5" s="38">
        <v>2</v>
      </c>
      <c r="B5" s="39">
        <v>42461</v>
      </c>
      <c r="C5" s="38">
        <f>DATA!P38</f>
        <v>32340</v>
      </c>
      <c r="D5" s="38">
        <f>IF(C5="","",ROUND(C5*DATA!R38/100,0.1))</f>
        <v>3898</v>
      </c>
      <c r="E5" s="38">
        <f>ROUND(C5*DATA!Q38%,0)</f>
        <v>3881</v>
      </c>
      <c r="F5" s="38">
        <f>IF(DATA!$V$6=1,DATA!$AU$6,IF(C5&gt;12190,1000,ROUND(C5*8%,0)))</f>
        <v>0</v>
      </c>
      <c r="G5" s="38">
        <f>DATA!$AO$6</f>
        <v>0</v>
      </c>
      <c r="H5" s="38">
        <f>DATA!$AQ$6</f>
        <v>0</v>
      </c>
      <c r="I5" s="38">
        <f>DATA!$AP$5</f>
        <v>270</v>
      </c>
      <c r="J5" s="38">
        <f>IF(DATA!$AM$53=2,"",DATA!$AS$6)</f>
        <v>0</v>
      </c>
      <c r="K5" s="38">
        <f>DATA!$AY$6</f>
        <v>0</v>
      </c>
      <c r="L5" s="40">
        <f>IF(DATA!$O$74=2,0,IF(DATA!I52=2,L4,690))</f>
        <v>0</v>
      </c>
      <c r="M5" s="38">
        <f>SUM(C5:L5)</f>
        <v>40389</v>
      </c>
      <c r="N5" s="38">
        <f>IF(DATA!$Q$74=3,ROUND(('Salary Details'!C5+'Salary Details'!D5)*10%,0),DATA!S38)</f>
        <v>12000</v>
      </c>
      <c r="O5" s="38">
        <f>DATA!T38</f>
        <v>450</v>
      </c>
      <c r="P5" s="38">
        <f>DATA!U38</f>
        <v>60</v>
      </c>
      <c r="Q5" s="41">
        <f>IF(DATA!$O$74=1,0,IF(AND(M5&gt;5000,M5&lt;=6000),60,IF(AND(M5&gt;6000,M5&lt;=10000),80,IF(AND(M5&gt;10000,M5&lt;=15000),100,IF(AND(M5&gt;15000,M5&lt;=20000),150,IF(AND(M5&gt;20000),200))))))</f>
        <v>200</v>
      </c>
      <c r="R5" s="41">
        <f>DATA!T$60</f>
        <v>90</v>
      </c>
      <c r="S5" s="38">
        <v>0</v>
      </c>
      <c r="T5" s="38">
        <f>IF(DATA!$AN$12=0,SUM(N5:S5),DATA!$AN$12)</f>
        <v>12800</v>
      </c>
    </row>
    <row r="6" spans="1:20" ht="15">
      <c r="A6" s="38">
        <v>3</v>
      </c>
      <c r="B6" s="39">
        <v>42491</v>
      </c>
      <c r="C6" s="38">
        <f>DATA!P39</f>
        <v>32340</v>
      </c>
      <c r="D6" s="38">
        <f>IF(C6="","",ROUND(C6*DATA!R39/100,0.1))</f>
        <v>3898</v>
      </c>
      <c r="E6" s="38">
        <f>ROUND(C6*DATA!Q39%,0)</f>
        <v>3881</v>
      </c>
      <c r="F6" s="38">
        <f>IF(DATA!$V$6=1,DATA!$AU$6,IF(C6&gt;12190,1000,ROUND(C6*8%,0)))</f>
        <v>0</v>
      </c>
      <c r="G6" s="38">
        <f>DATA!$AO$6</f>
        <v>0</v>
      </c>
      <c r="H6" s="38">
        <f>DATA!$AQ$6</f>
        <v>0</v>
      </c>
      <c r="I6" s="38">
        <f>DATA!$AP$5</f>
        <v>270</v>
      </c>
      <c r="J6" s="38">
        <f>IF(DATA!$AM$53=2,"",DATA!$AS$6)</f>
        <v>0</v>
      </c>
      <c r="K6" s="38">
        <f>DATA!$AY$6</f>
        <v>0</v>
      </c>
      <c r="L6" s="40">
        <f>IF(DATA!I52=2,L4,0)</f>
        <v>0</v>
      </c>
      <c r="M6" s="38">
        <f>SUM(C6:L6)</f>
        <v>40389</v>
      </c>
      <c r="N6" s="38">
        <f>IF(DATA!$Q$74=3,ROUND(('Salary Details'!C6+'Salary Details'!D6)*10%,0),DATA!S39)</f>
        <v>12000</v>
      </c>
      <c r="O6" s="38">
        <f>DATA!T39</f>
        <v>450</v>
      </c>
      <c r="P6" s="38">
        <f>DATA!U39</f>
        <v>60</v>
      </c>
      <c r="Q6" s="41">
        <f>IF(DATA!$O$74=1,0,IF(AND(M6&gt;5000,M6&lt;=6000),60,IF(AND(M6&gt;6000,M6&lt;=10000),80,IF(AND(M6&gt;10000,M6&lt;=15000),100,IF(AND(M6&gt;15000,M6&lt;=20000),150,IF(AND(M6&gt;20000),200))))))</f>
        <v>200</v>
      </c>
      <c r="R6" s="41">
        <f>DATA!T$60</f>
        <v>90</v>
      </c>
      <c r="S6" s="38">
        <v>0</v>
      </c>
      <c r="T6" s="38">
        <f>IF(DATA!$AN$12=0,SUM(N6:S6),DATA!$AN$12)</f>
        <v>12800</v>
      </c>
    </row>
    <row r="7" spans="1:20" ht="15">
      <c r="A7" s="38">
        <v>4</v>
      </c>
      <c r="B7" s="39">
        <v>42522</v>
      </c>
      <c r="C7" s="38">
        <f>DATA!P40</f>
        <v>32340</v>
      </c>
      <c r="D7" s="38">
        <f>IF(C7="","",ROUND(C7*DATA!R40/100,0.1))</f>
        <v>3898</v>
      </c>
      <c r="E7" s="38">
        <f>ROUND(C7*DATA!Q40%,0)</f>
        <v>3881</v>
      </c>
      <c r="F7" s="38">
        <f>IF(DATA!$V$6=1,DATA!$AU$6,IF(C7&gt;12190,1000,ROUND(C7*8%,0)))</f>
        <v>0</v>
      </c>
      <c r="G7" s="38">
        <f>DATA!$AO$6</f>
        <v>0</v>
      </c>
      <c r="H7" s="38">
        <f>DATA!$AQ$6</f>
        <v>0</v>
      </c>
      <c r="I7" s="38">
        <f>DATA!$AP$5</f>
        <v>270</v>
      </c>
      <c r="J7" s="38">
        <f>IF(DATA!$AM$53=2,"",DATA!$AS$6)</f>
        <v>0</v>
      </c>
      <c r="K7" s="38">
        <f>DATA!$AY$6</f>
        <v>0</v>
      </c>
      <c r="L7" s="40">
        <f>IF(DATA!$O$74=2,0,IF(DATA!I52=2,L4,570))</f>
        <v>0</v>
      </c>
      <c r="M7" s="38">
        <f>SUM(C7:L7)</f>
        <v>40389</v>
      </c>
      <c r="N7" s="38">
        <f>IF(DATA!$Q$74=3,ROUND(('Salary Details'!C7+'Salary Details'!D7)*10%,0),DATA!S40)</f>
        <v>12000</v>
      </c>
      <c r="O7" s="38">
        <f>DATA!T40</f>
        <v>450</v>
      </c>
      <c r="P7" s="38">
        <f>DATA!U40</f>
        <v>60</v>
      </c>
      <c r="Q7" s="41">
        <f>IF(DATA!$O$74=1,0,IF(AND(M7&gt;5000,M7&lt;=6000),60,IF(AND(M7&gt;6000,M7&lt;=10000),80,IF(AND(M7&gt;10000,M7&lt;=15000),100,IF(AND(M7&gt;15000,M7&lt;=20000),150,IF(AND(M7&gt;20000),200))))))</f>
        <v>200</v>
      </c>
      <c r="R7" s="41">
        <f>DATA!T$60</f>
        <v>90</v>
      </c>
      <c r="S7" s="38">
        <v>0</v>
      </c>
      <c r="T7" s="38">
        <f>IF(DATA!$AN$12=0,SUM(N7:S7),DATA!$AN$12)</f>
        <v>12800</v>
      </c>
    </row>
    <row r="8" spans="1:20" ht="15">
      <c r="A8" s="38">
        <v>5</v>
      </c>
      <c r="B8" s="39">
        <v>42552</v>
      </c>
      <c r="C8" s="38">
        <f>DATA!P41</f>
        <v>32340</v>
      </c>
      <c r="D8" s="38">
        <f>IF(C8="","",ROUND(C8*DATA!R41/100,0.1))</f>
        <v>3898</v>
      </c>
      <c r="E8" s="38">
        <f>ROUND(C8*DATA!Q41%,0)</f>
        <v>3881</v>
      </c>
      <c r="F8" s="38">
        <f>IF(DATA!$V$6=1,DATA!$AU$6,IF(C8&gt;12190,1000,ROUND(C8*8%,0)))</f>
        <v>0</v>
      </c>
      <c r="G8" s="38">
        <f>DATA!$AO$6</f>
        <v>0</v>
      </c>
      <c r="H8" s="38">
        <f>DATA!$AQ$6</f>
        <v>0</v>
      </c>
      <c r="I8" s="38">
        <f>DATA!$AP$5</f>
        <v>270</v>
      </c>
      <c r="J8" s="38">
        <f>IF(DATA!$AM$53=2,"",DATA!$AS$6)</f>
        <v>0</v>
      </c>
      <c r="K8" s="38">
        <f>DATA!$AY$6</f>
        <v>0</v>
      </c>
      <c r="L8" s="40">
        <f>IF(AND(DATA!$O$74=1,ROUND('Salary Details'!C8*10%,0)&lt;900),ROUND('Salary Details'!C8*10%,0),IF(AND(DATA!$O$74=1,ROUND('Salary Details'!C8*10%,0)&gt;=900),900,0))</f>
        <v>0</v>
      </c>
      <c r="M8" s="38">
        <f>SUM(C8:L8)</f>
        <v>40389</v>
      </c>
      <c r="N8" s="38">
        <f>IF(DATA!$Q$74=3,ROUND(('Salary Details'!C8+'Salary Details'!D8)*10%,0),DATA!S41)</f>
        <v>12000</v>
      </c>
      <c r="O8" s="38">
        <f>DATA!T41</f>
        <v>450</v>
      </c>
      <c r="P8" s="38">
        <f>DATA!U41</f>
        <v>60</v>
      </c>
      <c r="Q8" s="41">
        <f>IF(DATA!$O$74=1,0,IF(AND(M8&gt;5000,M8&lt;=6000),60,IF(AND(M8&gt;6000,M8&lt;=10000),80,IF(AND(M8&gt;10000,M8&lt;=15000),100,IF(AND(M8&gt;15000,M8&lt;=20000),150,IF(AND(M8&gt;20000),200))))))</f>
        <v>200</v>
      </c>
      <c r="R8" s="41">
        <f>DATA!T$60</f>
        <v>90</v>
      </c>
      <c r="S8" s="38">
        <v>0</v>
      </c>
      <c r="T8" s="38">
        <f>IF(DATA!$AN$12=0,SUM(N8:S8),DATA!$AN$12)</f>
        <v>12800</v>
      </c>
    </row>
    <row r="9" spans="1:20" ht="15">
      <c r="A9" s="38">
        <v>6</v>
      </c>
      <c r="B9" s="39">
        <v>42583</v>
      </c>
      <c r="C9" s="38">
        <f>DATA!P42</f>
        <v>32340</v>
      </c>
      <c r="D9" s="38">
        <f>IF(C9="","",ROUND(C9*DATA!R42/100,0.1))</f>
        <v>4914</v>
      </c>
      <c r="E9" s="38">
        <f>ROUND(C9*DATA!Q42%,0)</f>
        <v>3881</v>
      </c>
      <c r="F9" s="38">
        <f>IF(DATA!$V$6=1,DATA!$AU$6,IF(C9&gt;12190,1000,ROUND(C9*8%,0)))</f>
        <v>0</v>
      </c>
      <c r="G9" s="38">
        <f>DATA!$AO$6</f>
        <v>0</v>
      </c>
      <c r="H9" s="38">
        <f>DATA!$AQ$6</f>
        <v>0</v>
      </c>
      <c r="I9" s="38">
        <f>DATA!$AP$5</f>
        <v>270</v>
      </c>
      <c r="J9" s="38">
        <f>IF(DATA!$AM$53=2,DATA!$AP$5,DATA!$AS$6)</f>
        <v>0</v>
      </c>
      <c r="K9" s="38">
        <f>DATA!$AY$6</f>
        <v>0</v>
      </c>
      <c r="L9" s="40">
        <f>IF(AND(DATA!$O$74=1,ROUND('Salary Details'!C9*10%,0)&lt;900),ROUND('Salary Details'!C9*10%,0),IF(AND(DATA!$O$74=1,ROUND('Salary Details'!C9*10%,0)&gt;=900),900,0))</f>
        <v>0</v>
      </c>
      <c r="M9" s="38">
        <f>IF(B29&lt;&gt;"",SUM(C9:L9),"123456")</f>
        <v>41405</v>
      </c>
      <c r="N9" s="38">
        <f>IF(DATA!$Q$74=3,ROUND(('Salary Details'!C9+'Salary Details'!D9)*10%,0),DATA!S42)</f>
        <v>12000</v>
      </c>
      <c r="O9" s="38">
        <f>DATA!T42</f>
        <v>450</v>
      </c>
      <c r="P9" s="38">
        <f>DATA!U42</f>
        <v>60</v>
      </c>
      <c r="Q9" s="41">
        <f>IF(DATA!$O$74=1,0,IF(AND(M9&gt;5000,M9&lt;=6000),60,IF(AND(M9&gt;6000,M9&lt;=10000),80,IF(AND(M9&gt;10000,M9&lt;=15000),100,IF(AND(M9&gt;15000,M9&lt;=20000),150,IF(AND(M9&gt;20000),200))))))</f>
        <v>200</v>
      </c>
      <c r="R9" s="41">
        <f>DATA!T$60</f>
        <v>90</v>
      </c>
      <c r="S9" s="38">
        <v>0</v>
      </c>
      <c r="T9" s="38">
        <f>IF(DATA!$AN$12=0,SUM(N9:S9),DATA!$AN$12)</f>
        <v>12800</v>
      </c>
    </row>
    <row r="10" spans="1:20" ht="15">
      <c r="A10" s="38">
        <v>7</v>
      </c>
      <c r="B10" s="39">
        <v>42614</v>
      </c>
      <c r="C10" s="38">
        <f>DATA!P43</f>
        <v>32340</v>
      </c>
      <c r="D10" s="38">
        <f>IF(C10="","",ROUND(C10*DATA!R43/100,0.1))</f>
        <v>4914</v>
      </c>
      <c r="E10" s="38">
        <f>ROUND(C10*DATA!Q43%,0)</f>
        <v>3881</v>
      </c>
      <c r="F10" s="38">
        <f>IF(DATA!$V$6=1,DATA!$AU$6,IF(C10&gt;12190,1000,ROUND(C10*8%,0)))</f>
        <v>0</v>
      </c>
      <c r="G10" s="38">
        <f>DATA!$AO$6</f>
        <v>0</v>
      </c>
      <c r="H10" s="38">
        <f>DATA!$AQ$6</f>
        <v>0</v>
      </c>
      <c r="I10" s="38">
        <f>DATA!$AP$5</f>
        <v>270</v>
      </c>
      <c r="J10" s="38">
        <f>IF(DATA!$AM$53=2,DATA!$AP$5,DATA!$AS$6)</f>
        <v>0</v>
      </c>
      <c r="K10" s="38">
        <f>DATA!$AY$6</f>
        <v>0</v>
      </c>
      <c r="L10" s="40">
        <f>IF(AND(DATA!$O$74=1,ROUND('Salary Details'!C10*10%,0)&lt;900),ROUND('Salary Details'!C10*10%,0),IF(AND(DATA!$O$74=1,ROUND('Salary Details'!C10*10%,0)&gt;=900),900,0))</f>
        <v>0</v>
      </c>
      <c r="M10" s="38">
        <f aca="true" t="shared" si="0" ref="M10:M17">SUM(C10:L10)</f>
        <v>41405</v>
      </c>
      <c r="N10" s="38">
        <f>IF(DATA!$Q$74=3,ROUND(('Salary Details'!C10+'Salary Details'!D10)*10%,0),DATA!S43)</f>
        <v>12000</v>
      </c>
      <c r="O10" s="38">
        <f>DATA!T43</f>
        <v>450</v>
      </c>
      <c r="P10" s="38">
        <f>DATA!U43</f>
        <v>60</v>
      </c>
      <c r="Q10" s="41">
        <f>IF(DATA!$O$74=1,0,IF(AND(M10&gt;5000,M10&lt;=6000),60,IF(AND(M10&gt;6000,M10&lt;=10000),80,IF(AND(M10&gt;10000,M10&lt;=15000),100,IF(AND(M10&gt;15000,M10&lt;=20000),150,IF(AND(M10&gt;20000),200))))))</f>
        <v>200</v>
      </c>
      <c r="R10" s="41">
        <f>DATA!T$60</f>
        <v>90</v>
      </c>
      <c r="S10" s="38">
        <v>0</v>
      </c>
      <c r="T10" s="38">
        <f>IF(DATA!$AN$12=0,SUM(N10:S10),DATA!$AN$12)</f>
        <v>12800</v>
      </c>
    </row>
    <row r="11" spans="1:20" ht="15">
      <c r="A11" s="38">
        <v>8</v>
      </c>
      <c r="B11" s="39">
        <v>42644</v>
      </c>
      <c r="C11" s="38">
        <f>DATA!P44</f>
        <v>33220</v>
      </c>
      <c r="D11" s="38">
        <f>IF(C11="","",ROUND(C11*DATA!R44/100,0.1))</f>
        <v>5048</v>
      </c>
      <c r="E11" s="38">
        <f>ROUND(C11*DATA!Q44%,0)</f>
        <v>3986</v>
      </c>
      <c r="F11" s="38">
        <f>IF(DATA!$V$6=1,DATA!$AU$6,IF(C11&gt;12190,1000,ROUND(C11*8%,0)))</f>
        <v>0</v>
      </c>
      <c r="G11" s="38">
        <f>DATA!$AO$6</f>
        <v>0</v>
      </c>
      <c r="H11" s="38">
        <f>DATA!$AQ$6</f>
        <v>0</v>
      </c>
      <c r="I11" s="38">
        <f>DATA!$AP$5</f>
        <v>270</v>
      </c>
      <c r="J11" s="38">
        <f>IF(DATA!$AM$53=2,DATA!$AP$5,DATA!$AS$6)</f>
        <v>0</v>
      </c>
      <c r="K11" s="38">
        <f>DATA!$AY$6</f>
        <v>0</v>
      </c>
      <c r="L11" s="40">
        <f>IF(AND(DATA!$O$74=1,ROUND('Salary Details'!C11*10%,0)&lt;900),ROUND('Salary Details'!C11*10%,0),IF(AND(DATA!$O$74=1,ROUND('Salary Details'!C11*10%,0)&gt;=900),900,0))</f>
        <v>0</v>
      </c>
      <c r="M11" s="38">
        <f t="shared" si="0"/>
        <v>42524</v>
      </c>
      <c r="N11" s="38">
        <f>IF(DATA!$Q$74=3,ROUND(('Salary Details'!C11+'Salary Details'!D11)*10%,0),DATA!S44)</f>
        <v>12000</v>
      </c>
      <c r="O11" s="38">
        <f>DATA!T44</f>
        <v>450</v>
      </c>
      <c r="P11" s="38">
        <f>DATA!U44</f>
        <v>60</v>
      </c>
      <c r="Q11" s="41">
        <f>IF(DATA!$O$74=1,0,IF(AND(M11&gt;5000,M11&lt;=6000),60,IF(AND(M11&gt;6000,M11&lt;=10000),80,IF(AND(M11&gt;10000,M11&lt;=15000),100,IF(AND(M11&gt;15000,M11&lt;=20000),150,IF(AND(M11&gt;20000),200))))))</f>
        <v>200</v>
      </c>
      <c r="R11" s="41">
        <f>DATA!T$60</f>
        <v>90</v>
      </c>
      <c r="S11" s="38">
        <v>0</v>
      </c>
      <c r="T11" s="38">
        <f>IF(DATA!$AN$12=0,SUM(N11:S11),DATA!$AN$12)</f>
        <v>12800</v>
      </c>
    </row>
    <row r="12" spans="1:20" ht="15">
      <c r="A12" s="38">
        <v>9</v>
      </c>
      <c r="B12" s="39">
        <v>42675</v>
      </c>
      <c r="C12" s="38">
        <f>DATA!P45</f>
        <v>33220</v>
      </c>
      <c r="D12" s="38">
        <f>IF(C12="","",ROUND(C12*DATA!R45/100,0.1))</f>
        <v>5048</v>
      </c>
      <c r="E12" s="38">
        <f>ROUND(C12*DATA!Q45%,0)</f>
        <v>3986</v>
      </c>
      <c r="F12" s="38">
        <f>IF(DATA!$V$6=1,DATA!$AU$6,IF(C12&gt;12190,1000,ROUND(C12*8%,0)))</f>
        <v>0</v>
      </c>
      <c r="G12" s="38">
        <f>DATA!$AO$6</f>
        <v>0</v>
      </c>
      <c r="H12" s="38">
        <f>DATA!$AQ$6</f>
        <v>0</v>
      </c>
      <c r="I12" s="38">
        <f>DATA!$AP$5</f>
        <v>270</v>
      </c>
      <c r="J12" s="38">
        <f>IF(DATA!$AM$53=2,DATA!$AP$5,DATA!$AS$6)</f>
        <v>0</v>
      </c>
      <c r="K12" s="38">
        <f>DATA!$AY$6</f>
        <v>0</v>
      </c>
      <c r="L12" s="40">
        <f>IF(AND(DATA!$O$74=1,ROUND('Salary Details'!C12*10%,0)&lt;900),ROUND('Salary Details'!C12*10%,0),IF(AND(DATA!$O$74=1,ROUND('Salary Details'!C12*10%,0)&gt;=900),900,0))</f>
        <v>0</v>
      </c>
      <c r="M12" s="38">
        <f t="shared" si="0"/>
        <v>42524</v>
      </c>
      <c r="N12" s="38">
        <f>IF(DATA!$Q$74=3,ROUND(('Salary Details'!C12+'Salary Details'!D12)*10%,0),DATA!S45)</f>
        <v>12000</v>
      </c>
      <c r="O12" s="38">
        <f>DATA!T45</f>
        <v>450</v>
      </c>
      <c r="P12" s="38">
        <f>DATA!U45</f>
        <v>60</v>
      </c>
      <c r="Q12" s="41">
        <f>IF(DATA!$O$74=1,0,IF(AND(M12&gt;5000,M12&lt;=6000),60,IF(AND(M12&gt;6000,M12&lt;=10000),80,IF(AND(M12&gt;10000,M12&lt;=15000),100,IF(AND(M12&gt;15000,M12&lt;=20000),150,IF(AND(M12&gt;20000),200))))))</f>
        <v>200</v>
      </c>
      <c r="R12" s="41">
        <f>DATA!T$60</f>
        <v>90</v>
      </c>
      <c r="S12" s="38">
        <v>0</v>
      </c>
      <c r="T12" s="38">
        <f>IF(DATA!$AN$12=0,SUM(N12:S12),DATA!$AN$12)</f>
        <v>12800</v>
      </c>
    </row>
    <row r="13" spans="1:26" ht="15">
      <c r="A13" s="38">
        <v>10</v>
      </c>
      <c r="B13" s="39">
        <v>42705</v>
      </c>
      <c r="C13" s="38">
        <f>DATA!P46</f>
        <v>33220</v>
      </c>
      <c r="D13" s="38">
        <f>IF(C13="","",ROUND(C13*DATA!R46/100,0.1))</f>
        <v>5048</v>
      </c>
      <c r="E13" s="38">
        <f>ROUND(C13*DATA!Q46%,0)</f>
        <v>3986</v>
      </c>
      <c r="F13" s="38">
        <f>IF(DATA!$V$6=1,DATA!$AU$6,IF(C13&gt;12190,1000,ROUND(C13*8%,0)))</f>
        <v>0</v>
      </c>
      <c r="G13" s="38">
        <f>DATA!$AO$6</f>
        <v>0</v>
      </c>
      <c r="H13" s="38">
        <f>DATA!$AQ$6</f>
        <v>0</v>
      </c>
      <c r="I13" s="38">
        <f>DATA!$AP$5</f>
        <v>270</v>
      </c>
      <c r="J13" s="38">
        <f>IF(DATA!$AM$53=2,DATA!$AP$5,DATA!$AS$6)</f>
        <v>0</v>
      </c>
      <c r="K13" s="38">
        <f>DATA!$AY$6</f>
        <v>0</v>
      </c>
      <c r="L13" s="40">
        <f>IF(AND(DATA!$O$74=1,ROUND('Salary Details'!C13*10%,0)&lt;1350),ROUND('Salary Details'!C13*10%,0),IF(AND(DATA!$O$74=1,ROUND('Salary Details'!C13*10%,0)&gt;=1350),1350,0))</f>
        <v>0</v>
      </c>
      <c r="M13" s="38">
        <f t="shared" si="0"/>
        <v>42524</v>
      </c>
      <c r="N13" s="38">
        <f>IF(DATA!$Q$74=3,ROUND(('Salary Details'!C13+'Salary Details'!D13)*10%,0),DATA!S46)</f>
        <v>12000</v>
      </c>
      <c r="O13" s="38">
        <f>DATA!T46</f>
        <v>450</v>
      </c>
      <c r="P13" s="38">
        <f>DATA!U46</f>
        <v>60</v>
      </c>
      <c r="Q13" s="41">
        <f>IF(DATA!$O$74=1,0,IF(AND(M13&gt;5000,M13&lt;=6000),60,IF(AND(M13&gt;6000,M13&lt;=10000),80,IF(AND(M13&gt;10000,M13&lt;=15000),100,IF(AND(M13&gt;15000,M13&lt;=20000),150,IF(AND(M13&gt;20000),200))))))</f>
        <v>200</v>
      </c>
      <c r="R13" s="41">
        <f>DATA!T$60</f>
        <v>90</v>
      </c>
      <c r="S13" s="38">
        <f>DATA!AS12</f>
        <v>50</v>
      </c>
      <c r="T13" s="38">
        <f>IF(DATA!$AN$12=0,SUM(N13:S13),DATA!$AN$12)</f>
        <v>12850</v>
      </c>
      <c r="Z13">
        <f>IF(AND(DATA!$O$74=1,ROUND('Salary Details'!C4*10%,0)&lt;900),ROUND('Salary Details'!C4*10%,0),IF(AND(DATA!$O$74=1,ROUND('Salary Details'!C4*10%,0)&gt;=900),900,0))</f>
        <v>0</v>
      </c>
    </row>
    <row r="14" spans="1:20" ht="15">
      <c r="A14" s="38">
        <v>11</v>
      </c>
      <c r="B14" s="39">
        <v>42736</v>
      </c>
      <c r="C14" s="38">
        <f>DATA!P47</f>
        <v>33220</v>
      </c>
      <c r="D14" s="38">
        <f>IF(C14="","",ROUND(C14*DATA!R47/100,0.1))</f>
        <v>5048</v>
      </c>
      <c r="E14" s="38">
        <f>ROUND(C14*DATA!Q47%,0)</f>
        <v>3986</v>
      </c>
      <c r="F14" s="38">
        <f>IF(DATA!$V$6=1,DATA!$AU$6,IF(C14&gt;12190,1000,ROUND(C14*8%,0)))</f>
        <v>0</v>
      </c>
      <c r="G14" s="38">
        <f>DATA!$AO$6</f>
        <v>0</v>
      </c>
      <c r="H14" s="38">
        <f>DATA!$AQ$6</f>
        <v>0</v>
      </c>
      <c r="I14" s="38">
        <f>DATA!$AP$5</f>
        <v>270</v>
      </c>
      <c r="J14" s="38">
        <f>IF(DATA!$AM$53=2,DATA!$AP$5,DATA!$AS$6)</f>
        <v>0</v>
      </c>
      <c r="K14" s="38">
        <f>DATA!$AY$6</f>
        <v>0</v>
      </c>
      <c r="L14" s="40">
        <f>IF(AND(DATA!$O$74=1,ROUND('Salary Details'!C14*10%,0)&lt;1350),ROUND('Salary Details'!C14*10%,0),IF(AND(DATA!$O$74=1,ROUND('Salary Details'!C14*10%,0)&gt;=1350),1350,0))</f>
        <v>0</v>
      </c>
      <c r="M14" s="38">
        <f t="shared" si="0"/>
        <v>42524</v>
      </c>
      <c r="N14" s="38">
        <f>IF(DATA!$Q$74=3,ROUND(('Salary Details'!C14+'Salary Details'!D14)*10%,0),DATA!S47)</f>
        <v>12000</v>
      </c>
      <c r="O14" s="38">
        <f>DATA!T47</f>
        <v>450</v>
      </c>
      <c r="P14" s="38">
        <f>DATA!U47</f>
        <v>60</v>
      </c>
      <c r="Q14" s="41">
        <f>IF(DATA!$O$74=1,0,IF(AND(M14&gt;5000,M14&lt;=6000),60,IF(AND(M14&gt;6000,M14&lt;=10000),80,IF(AND(M14&gt;10000,M14&lt;=15000),100,IF(AND(M14&gt;15000,M14&lt;=20000),150,IF(AND(M14&gt;20000),200))))))</f>
        <v>200</v>
      </c>
      <c r="R14" s="41">
        <f>DATA!T$60</f>
        <v>90</v>
      </c>
      <c r="S14" s="38">
        <v>0</v>
      </c>
      <c r="T14" s="38">
        <f>IF(DATA!$AN$12=0,SUM(N14:S14),DATA!$AN$12)</f>
        <v>12800</v>
      </c>
    </row>
    <row r="15" spans="1:20" ht="15">
      <c r="A15" s="38">
        <v>12</v>
      </c>
      <c r="B15" s="39">
        <v>42767</v>
      </c>
      <c r="C15" s="38">
        <f>DATA!P48</f>
        <v>33220</v>
      </c>
      <c r="D15" s="38">
        <f>IF(C15="","",ROUND(C15*DATA!R48/100,0.1))</f>
        <v>5048</v>
      </c>
      <c r="E15" s="38">
        <f>ROUND(C15*DATA!Q48%,0)</f>
        <v>3986</v>
      </c>
      <c r="F15" s="38">
        <f>IF(DATA!$V$6=1,DATA!$AU$6,IF(C15&gt;12190,1000,ROUND(C15*8%,0)))</f>
        <v>0</v>
      </c>
      <c r="G15" s="38">
        <f>DATA!$AO$6</f>
        <v>0</v>
      </c>
      <c r="H15" s="38">
        <f>DATA!$AQ$6</f>
        <v>0</v>
      </c>
      <c r="I15" s="38">
        <f>DATA!$AP$5</f>
        <v>270</v>
      </c>
      <c r="J15" s="38">
        <f>IF(DATA!$AM$53=2,DATA!$AP$5,DATA!$AS$6)</f>
        <v>0</v>
      </c>
      <c r="K15" s="38">
        <f>DATA!$AY$6</f>
        <v>0</v>
      </c>
      <c r="L15" s="40">
        <f>IF(AND(DATA!$O$74=1,ROUND('Salary Details'!C15*10%,0)&lt;1350),ROUND('Salary Details'!C15*10%,0),IF(AND(DATA!$O$74=1,ROUND('Salary Details'!C15*10%,0)&gt;=1350),1350,0))</f>
        <v>0</v>
      </c>
      <c r="M15" s="38">
        <f t="shared" si="0"/>
        <v>42524</v>
      </c>
      <c r="N15" s="38">
        <f>IF(DATA!$Q$74=3,ROUND(('Salary Details'!C15+'Salary Details'!D15)*10%,0),DATA!S48)</f>
        <v>12000</v>
      </c>
      <c r="O15" s="38">
        <f>DATA!T48</f>
        <v>450</v>
      </c>
      <c r="P15" s="38">
        <f>DATA!U48</f>
        <v>60</v>
      </c>
      <c r="Q15" s="41">
        <f>IF(DATA!$O$74=1,0,IF(AND(M15&gt;5000,M15&lt;=6000),60,IF(AND(M15&gt;6000,M15&lt;=10000),80,IF(AND(M15&gt;10000,M15&lt;=15000),100,IF(AND(M15&gt;15000,M15&lt;=20000),150,IF(AND(M15&gt;20000),200))))))</f>
        <v>200</v>
      </c>
      <c r="R15" s="41">
        <f>DATA!T$60</f>
        <v>90</v>
      </c>
      <c r="S15" s="38">
        <v>0</v>
      </c>
      <c r="T15" s="38">
        <f>IF(DATA!$AN$12=0,SUM(N15:S15),DATA!$AN$12)</f>
        <v>12800</v>
      </c>
    </row>
    <row r="16" spans="1:20" ht="27">
      <c r="A16" s="38">
        <v>13</v>
      </c>
      <c r="B16" s="310" t="str">
        <f>CONCATENATE("Surrender leave  ",DATA!C109)</f>
        <v>Surrender leave  Not Availed</v>
      </c>
      <c r="C16" s="38">
        <f>DATA!E109</f>
        <v>0</v>
      </c>
      <c r="D16" s="38">
        <f>DATA!F109</f>
        <v>0</v>
      </c>
      <c r="E16" s="38">
        <f>DATA!G109</f>
        <v>0</v>
      </c>
      <c r="F16" s="38">
        <v>0</v>
      </c>
      <c r="G16" s="38">
        <f>IF(E16=0,0,IF(MOD(DATA!B109,2)=0,ROUND(G15/2,0),ROUND(G15,0)))</f>
        <v>0</v>
      </c>
      <c r="H16" s="38">
        <f>IF(E16=0,0,ROUND(H15/2,0))</f>
        <v>0</v>
      </c>
      <c r="I16" s="38"/>
      <c r="J16" s="38">
        <v>0</v>
      </c>
      <c r="K16" s="38">
        <v>0</v>
      </c>
      <c r="L16" s="38">
        <v>0</v>
      </c>
      <c r="M16" s="38">
        <f t="shared" si="0"/>
        <v>0</v>
      </c>
      <c r="N16" s="38">
        <v>0</v>
      </c>
      <c r="O16" s="38">
        <v>0</v>
      </c>
      <c r="P16" s="38">
        <v>0</v>
      </c>
      <c r="Q16" s="38">
        <v>0</v>
      </c>
      <c r="R16" s="38"/>
      <c r="S16" s="38">
        <v>0</v>
      </c>
      <c r="T16" s="38">
        <f>IF(DATA!$AN$12=0,SUM(N16:S16),0)</f>
        <v>0</v>
      </c>
    </row>
    <row r="17" spans="1:20" ht="27">
      <c r="A17" s="38">
        <v>14</v>
      </c>
      <c r="B17" s="42" t="s">
        <v>326</v>
      </c>
      <c r="C17" s="37">
        <f>DATA!AM21</f>
        <v>0</v>
      </c>
      <c r="D17" s="37">
        <f>DATA!AP21</f>
        <v>0</v>
      </c>
      <c r="E17" s="37">
        <f>DATA!AS21</f>
        <v>0</v>
      </c>
      <c r="F17" s="38">
        <v>0</v>
      </c>
      <c r="G17" s="38">
        <v>0</v>
      </c>
      <c r="H17" s="38">
        <v>0</v>
      </c>
      <c r="I17" s="38"/>
      <c r="J17" s="38">
        <v>0</v>
      </c>
      <c r="K17" s="38">
        <v>0</v>
      </c>
      <c r="L17" s="38">
        <v>0</v>
      </c>
      <c r="M17" s="38">
        <f t="shared" si="0"/>
        <v>0</v>
      </c>
      <c r="N17" s="43">
        <f>DATA!AW21</f>
        <v>0</v>
      </c>
      <c r="O17" s="38">
        <v>0</v>
      </c>
      <c r="P17" s="38">
        <v>0</v>
      </c>
      <c r="Q17" s="38">
        <f>DATA!AZ21</f>
        <v>0</v>
      </c>
      <c r="R17" s="38"/>
      <c r="S17" s="38">
        <v>0</v>
      </c>
      <c r="T17" s="38">
        <f>IF(DATA!$AN$12=0,SUM(N17:S17),0)</f>
        <v>0</v>
      </c>
    </row>
    <row r="18" spans="1:20" ht="25.5">
      <c r="A18" s="38">
        <v>15</v>
      </c>
      <c r="B18" s="303" t="s">
        <v>597</v>
      </c>
      <c r="C18" s="44">
        <v>0</v>
      </c>
      <c r="D18" s="44">
        <f>DATA!P187</f>
        <v>8047</v>
      </c>
      <c r="E18" s="44">
        <v>0</v>
      </c>
      <c r="F18" s="38">
        <v>0</v>
      </c>
      <c r="G18" s="38">
        <v>0</v>
      </c>
      <c r="H18" s="38">
        <v>0</v>
      </c>
      <c r="I18" s="38"/>
      <c r="J18" s="38">
        <v>0</v>
      </c>
      <c r="K18" s="38">
        <v>0</v>
      </c>
      <c r="L18" s="38">
        <v>0</v>
      </c>
      <c r="M18" s="38">
        <f>D18</f>
        <v>8047</v>
      </c>
      <c r="N18" s="43">
        <f>IF(DATA!$Q$74=3,ROUND((M18)*10%,0),M18)</f>
        <v>8047</v>
      </c>
      <c r="O18" s="38">
        <v>0</v>
      </c>
      <c r="P18" s="38">
        <v>0</v>
      </c>
      <c r="Q18" s="38">
        <v>0</v>
      </c>
      <c r="R18" s="38">
        <v>0</v>
      </c>
      <c r="S18" s="38">
        <v>0</v>
      </c>
      <c r="T18" s="38">
        <f>IF(DATA!$AN$12=0,SUM(N18:S18),0)</f>
        <v>8047</v>
      </c>
    </row>
    <row r="19" spans="1:20" ht="29.25" customHeight="1">
      <c r="A19" s="38">
        <v>16</v>
      </c>
      <c r="B19" s="303" t="s">
        <v>598</v>
      </c>
      <c r="C19" s="44">
        <v>0</v>
      </c>
      <c r="D19" s="43">
        <f>DATA!P209</f>
        <v>9153</v>
      </c>
      <c r="E19" s="38">
        <v>0</v>
      </c>
      <c r="F19" s="38">
        <v>0</v>
      </c>
      <c r="G19" s="38">
        <v>0</v>
      </c>
      <c r="H19" s="38">
        <v>0</v>
      </c>
      <c r="I19" s="38"/>
      <c r="J19" s="38">
        <v>0</v>
      </c>
      <c r="K19" s="38">
        <v>0</v>
      </c>
      <c r="L19" s="38">
        <v>0</v>
      </c>
      <c r="M19" s="43">
        <f>D19</f>
        <v>9153</v>
      </c>
      <c r="N19" s="43">
        <f>IF(DATA!$Q$74=3,ROUND((M19)*10%,0),M19)</f>
        <v>9153</v>
      </c>
      <c r="O19" s="38">
        <v>0</v>
      </c>
      <c r="P19" s="38">
        <v>0</v>
      </c>
      <c r="Q19" s="38">
        <v>0</v>
      </c>
      <c r="R19" s="38">
        <v>0</v>
      </c>
      <c r="S19" s="38">
        <v>0</v>
      </c>
      <c r="T19" s="38">
        <f>IF(DATA!$AN$12=0,SUM(N19:S19),0)</f>
        <v>9153</v>
      </c>
    </row>
    <row r="20" spans="1:20" ht="15">
      <c r="A20" s="38">
        <v>17</v>
      </c>
      <c r="B20" s="45" t="str">
        <f>IF(DATA!Q113=2,"AAS Arrear "&amp;DATA!T109," AAS Arrears")</f>
        <v> AAS Arrears</v>
      </c>
      <c r="C20" s="44">
        <f>DATA!Z114</f>
        <v>0</v>
      </c>
      <c r="D20" s="44">
        <f>DATA!AA114</f>
        <v>0</v>
      </c>
      <c r="E20" s="44">
        <f>IF(C20=0,0,DATA!AB115)</f>
        <v>0</v>
      </c>
      <c r="F20" s="38">
        <v>0</v>
      </c>
      <c r="G20" s="38">
        <v>0</v>
      </c>
      <c r="H20" s="38">
        <v>0</v>
      </c>
      <c r="I20" s="38">
        <f>ROUND(C20*27%,0)</f>
        <v>0</v>
      </c>
      <c r="J20" s="38">
        <v>0</v>
      </c>
      <c r="K20" s="38">
        <v>0</v>
      </c>
      <c r="L20" s="38">
        <v>0</v>
      </c>
      <c r="M20" s="38">
        <f>SUM(C20:L20)</f>
        <v>0</v>
      </c>
      <c r="N20" s="43">
        <v>0</v>
      </c>
      <c r="O20" s="38">
        <v>0</v>
      </c>
      <c r="P20" s="38">
        <v>0</v>
      </c>
      <c r="Q20" s="38">
        <v>0</v>
      </c>
      <c r="R20" s="38"/>
      <c r="S20" s="38">
        <v>0</v>
      </c>
      <c r="T20" s="38">
        <f>IF(DATA!$AN$12=0,SUM(N20:S20),0)</f>
        <v>0</v>
      </c>
    </row>
    <row r="21" spans="1:20" ht="25.5">
      <c r="A21" s="38">
        <v>18</v>
      </c>
      <c r="B21" s="46" t="s">
        <v>252</v>
      </c>
      <c r="C21" s="44">
        <v>0</v>
      </c>
      <c r="D21" s="43">
        <v>0</v>
      </c>
      <c r="E21" s="38">
        <v>0</v>
      </c>
      <c r="F21" s="38">
        <v>0</v>
      </c>
      <c r="G21" s="38">
        <v>0</v>
      </c>
      <c r="H21" s="38">
        <v>0</v>
      </c>
      <c r="I21" s="38"/>
      <c r="J21" s="38">
        <f>DATA!AZ12</f>
        <v>0</v>
      </c>
      <c r="K21" s="38">
        <v>0</v>
      </c>
      <c r="L21" s="38">
        <v>0</v>
      </c>
      <c r="M21" s="38">
        <f>SUM(C21:L21)</f>
        <v>0</v>
      </c>
      <c r="N21" s="43">
        <v>0</v>
      </c>
      <c r="O21" s="38">
        <v>0</v>
      </c>
      <c r="P21" s="38">
        <v>0</v>
      </c>
      <c r="Q21" s="38">
        <v>0</v>
      </c>
      <c r="R21" s="38"/>
      <c r="S21" s="38">
        <v>0</v>
      </c>
      <c r="T21" s="38">
        <f>IF(DATA!$AN$12=0,SUM(N21:S21),0)</f>
        <v>0</v>
      </c>
    </row>
    <row r="22" spans="1:20" ht="27" hidden="1">
      <c r="A22" s="38">
        <v>19</v>
      </c>
      <c r="B22" s="47" t="s">
        <v>30</v>
      </c>
      <c r="C22" s="37">
        <v>0</v>
      </c>
      <c r="D22" s="43">
        <v>0</v>
      </c>
      <c r="E22" s="38">
        <v>0</v>
      </c>
      <c r="F22" s="38">
        <v>0</v>
      </c>
      <c r="G22" s="38">
        <v>0</v>
      </c>
      <c r="H22" s="38">
        <v>0</v>
      </c>
      <c r="I22" s="38"/>
      <c r="J22" s="38">
        <v>0</v>
      </c>
      <c r="K22" s="38">
        <v>0</v>
      </c>
      <c r="L22" s="38">
        <v>0</v>
      </c>
      <c r="M22" s="38">
        <f>SUM(C22:L22)</f>
        <v>0</v>
      </c>
      <c r="N22" s="43">
        <v>0</v>
      </c>
      <c r="O22" s="38">
        <v>0</v>
      </c>
      <c r="P22" s="38">
        <v>0</v>
      </c>
      <c r="Q22" s="38">
        <v>0</v>
      </c>
      <c r="R22" s="38"/>
      <c r="S22" s="38">
        <v>0</v>
      </c>
      <c r="T22" s="38">
        <f>SUM(N22:S22)</f>
        <v>0</v>
      </c>
    </row>
    <row r="23" spans="1:20" ht="15">
      <c r="A23" s="620" t="s">
        <v>31</v>
      </c>
      <c r="B23" s="621"/>
      <c r="C23" s="308">
        <f>SUM(C4:C22)</f>
        <v>392480</v>
      </c>
      <c r="D23" s="308">
        <f>SUM(D4:D22)</f>
        <v>71758</v>
      </c>
      <c r="E23" s="308">
        <f>SUM(E4:E22)</f>
        <v>47097</v>
      </c>
      <c r="F23" s="308">
        <f aca="true" t="shared" si="1" ref="F23:P23">SUM(F4:F22)</f>
        <v>0</v>
      </c>
      <c r="G23" s="308">
        <f t="shared" si="1"/>
        <v>0</v>
      </c>
      <c r="H23" s="308">
        <f t="shared" si="1"/>
        <v>0</v>
      </c>
      <c r="I23" s="308">
        <f>SUM(I4:I21)</f>
        <v>3240</v>
      </c>
      <c r="J23" s="308">
        <f t="shared" si="1"/>
        <v>0</v>
      </c>
      <c r="K23" s="308">
        <f t="shared" si="1"/>
        <v>0</v>
      </c>
      <c r="L23" s="309">
        <f>SUM(L4:L22)</f>
        <v>0</v>
      </c>
      <c r="M23" s="308">
        <f>IF(B29&lt;&gt;"",SUM(M4:M22),"")</f>
        <v>514575</v>
      </c>
      <c r="N23" s="308">
        <f>SUM(N4:N22)</f>
        <v>161200</v>
      </c>
      <c r="O23" s="308">
        <f>SUM(O4:O22)</f>
        <v>5400</v>
      </c>
      <c r="P23" s="308">
        <f t="shared" si="1"/>
        <v>720</v>
      </c>
      <c r="Q23" s="308">
        <f>SUM(Q4:Q22)</f>
        <v>2400</v>
      </c>
      <c r="R23" s="308">
        <f>SUM(R4:R15)</f>
        <v>1080</v>
      </c>
      <c r="S23" s="308">
        <f>SUM(S4:S22)</f>
        <v>70</v>
      </c>
      <c r="T23" s="308">
        <f>SUM(T4:T22)</f>
        <v>170870</v>
      </c>
    </row>
    <row r="24" spans="1:20" ht="15">
      <c r="A24" s="49"/>
      <c r="B24" s="49"/>
      <c r="C24" s="49"/>
      <c r="D24" s="49"/>
      <c r="E24" s="49"/>
      <c r="F24" s="49"/>
      <c r="G24" s="49"/>
      <c r="H24" s="49"/>
      <c r="I24" s="49"/>
      <c r="J24" s="49"/>
      <c r="K24" s="49"/>
      <c r="L24" s="49"/>
      <c r="M24" s="49"/>
      <c r="N24" s="49"/>
      <c r="O24" s="49"/>
      <c r="P24" s="49"/>
      <c r="Q24" s="49"/>
      <c r="R24" s="49"/>
      <c r="S24" s="49"/>
      <c r="T24" s="49"/>
    </row>
    <row r="25" spans="1:20" ht="15">
      <c r="A25" s="49"/>
      <c r="B25" s="49"/>
      <c r="C25" s="49"/>
      <c r="D25" s="49"/>
      <c r="E25" s="49"/>
      <c r="F25" s="49"/>
      <c r="G25" s="49"/>
      <c r="H25" s="49"/>
      <c r="I25" s="49"/>
      <c r="J25" s="49"/>
      <c r="K25" s="49"/>
      <c r="L25" s="49"/>
      <c r="M25" s="49"/>
      <c r="N25" s="49"/>
      <c r="O25" s="49"/>
      <c r="P25" s="49"/>
      <c r="Q25" s="49"/>
      <c r="R25" s="49"/>
      <c r="S25" s="49"/>
      <c r="T25" s="49"/>
    </row>
    <row r="26" spans="1:20" ht="15">
      <c r="A26" s="49"/>
      <c r="B26" s="49"/>
      <c r="C26" s="49"/>
      <c r="D26" s="49"/>
      <c r="E26" s="49"/>
      <c r="F26" s="49"/>
      <c r="G26" s="49"/>
      <c r="H26" s="49"/>
      <c r="I26" s="49"/>
      <c r="J26" s="49"/>
      <c r="K26" s="49"/>
      <c r="L26" s="49"/>
      <c r="M26" s="49"/>
      <c r="N26" s="49"/>
      <c r="O26" s="49"/>
      <c r="P26" s="49"/>
      <c r="Q26" s="49"/>
      <c r="R26" s="49"/>
      <c r="S26" s="49"/>
      <c r="T26" s="49"/>
    </row>
    <row r="27" spans="1:20" ht="15">
      <c r="A27" s="49"/>
      <c r="B27" s="49" t="s">
        <v>251</v>
      </c>
      <c r="C27" s="49"/>
      <c r="D27" s="49"/>
      <c r="E27" s="49"/>
      <c r="F27" s="49"/>
      <c r="G27" s="49"/>
      <c r="H27" s="49"/>
      <c r="I27" s="49"/>
      <c r="J27" s="49"/>
      <c r="K27" s="49"/>
      <c r="L27" s="49"/>
      <c r="M27" s="49"/>
      <c r="N27" s="49"/>
      <c r="O27" s="49"/>
      <c r="P27" s="49" t="s">
        <v>123</v>
      </c>
      <c r="Q27" s="49"/>
      <c r="R27" s="49"/>
      <c r="S27" s="49"/>
      <c r="T27" s="49"/>
    </row>
    <row r="28" spans="1:20" ht="15">
      <c r="A28" s="49"/>
      <c r="B28" s="49"/>
      <c r="C28" s="49"/>
      <c r="D28" s="49"/>
      <c r="E28" s="49"/>
      <c r="F28" s="49"/>
      <c r="G28" s="49"/>
      <c r="H28" s="49"/>
      <c r="I28" s="49"/>
      <c r="J28" s="49"/>
      <c r="K28" s="49"/>
      <c r="L28" s="49"/>
      <c r="M28" s="49"/>
      <c r="N28" s="49"/>
      <c r="O28" s="49"/>
      <c r="P28" s="49"/>
      <c r="Q28" s="49"/>
      <c r="R28" s="49"/>
      <c r="S28" s="49"/>
      <c r="T28" s="49"/>
    </row>
    <row r="29" spans="1:20" ht="15">
      <c r="A29" s="49"/>
      <c r="B29" s="305" t="str">
        <f>DATA!D148</f>
        <v>Software developed by S.Seshadri,SA(MM),ZPHS-Thugundram,GD Nellore,Chittoor(Dist) Visit: www.apteacher.net</v>
      </c>
      <c r="C29" s="49"/>
      <c r="D29" s="49"/>
      <c r="E29" s="49"/>
      <c r="F29" s="49"/>
      <c r="G29" s="49"/>
      <c r="H29" s="49"/>
      <c r="I29" s="49"/>
      <c r="J29" s="49"/>
      <c r="K29" s="49"/>
      <c r="L29" s="49"/>
      <c r="M29" s="49"/>
      <c r="N29" s="49"/>
      <c r="O29" s="49"/>
      <c r="P29" s="49"/>
      <c r="Q29" s="49"/>
      <c r="R29" s="49"/>
      <c r="S29" s="49"/>
      <c r="T29" s="49"/>
    </row>
  </sheetData>
  <sheetProtection password="92B2" sheet="1" selectLockedCells="1"/>
  <mergeCells count="2">
    <mergeCell ref="A1:T1"/>
    <mergeCell ref="A23:B23"/>
  </mergeCells>
  <printOptions/>
  <pageMargins left="0.7086614173228347" right="0.7086614173228347" top="0.5511811023622047" bottom="0.5511811023622047" header="0.31496062992125984" footer="0.31496062992125984"/>
  <pageSetup fitToWidth="0" fitToHeight="1" horizontalDpi="600" verticalDpi="600" orientation="landscape" paperSize="5" r:id="rId2"/>
  <headerFooter>
    <oddHeader>&amp;Rwww.apteacher.net
</oddHeader>
  </headerFooter>
  <ignoredErrors>
    <ignoredError sqref="C17:E17 T22" emptyCellReference="1"/>
    <ignoredError sqref="B20" unlockedFormula="1"/>
  </ignoredErrors>
  <drawing r:id="rId1"/>
</worksheet>
</file>

<file path=xl/worksheets/sheet4.xml><?xml version="1.0" encoding="utf-8"?>
<worksheet xmlns="http://schemas.openxmlformats.org/spreadsheetml/2006/main" xmlns:r="http://schemas.openxmlformats.org/officeDocument/2006/relationships">
  <sheetPr codeName="Sheet3">
    <tabColor theme="6" tint="-0.4999699890613556"/>
    <pageSetUpPr fitToPage="1"/>
  </sheetPr>
  <dimension ref="A1:AB70"/>
  <sheetViews>
    <sheetView showGridLines="0" showRowColHeaders="0" workbookViewId="0" topLeftCell="A1">
      <selection activeCell="A1" sqref="A1:L1"/>
    </sheetView>
  </sheetViews>
  <sheetFormatPr defaultColWidth="9.140625" defaultRowHeight="15"/>
  <cols>
    <col min="1" max="1" width="5.57421875" style="48" customWidth="1"/>
    <col min="2" max="2" width="4.57421875" style="48" customWidth="1"/>
    <col min="3" max="3" width="4.7109375" style="48" customWidth="1"/>
    <col min="4" max="4" width="4.57421875" style="48" customWidth="1"/>
    <col min="5" max="5" width="5.28125" style="48" customWidth="1"/>
    <col min="6" max="6" width="6.421875" style="48" customWidth="1"/>
    <col min="7" max="7" width="17.7109375" style="48" customWidth="1"/>
    <col min="8" max="8" width="21.28125" style="48" customWidth="1"/>
    <col min="9" max="9" width="3.28125" style="48" customWidth="1"/>
    <col min="10" max="10" width="1.421875" style="48" customWidth="1"/>
    <col min="11" max="11" width="10.7109375" style="48" customWidth="1"/>
    <col min="12" max="12" width="12.7109375" style="48" customWidth="1"/>
    <col min="13" max="13" width="9.140625" style="48" customWidth="1"/>
    <col min="14" max="14" width="10.57421875" style="48" bestFit="1" customWidth="1"/>
    <col min="15" max="26" width="9.140625" style="48" customWidth="1"/>
    <col min="27" max="32" width="0" style="48" hidden="1" customWidth="1"/>
    <col min="33" max="16384" width="9.140625" style="48" customWidth="1"/>
  </cols>
  <sheetData>
    <row r="1" spans="1:12" ht="15.75" customHeight="1" thickTop="1">
      <c r="A1" s="663" t="s">
        <v>94</v>
      </c>
      <c r="B1" s="664"/>
      <c r="C1" s="664"/>
      <c r="D1" s="664"/>
      <c r="E1" s="664"/>
      <c r="F1" s="664"/>
      <c r="G1" s="664"/>
      <c r="H1" s="664"/>
      <c r="I1" s="664"/>
      <c r="J1" s="664"/>
      <c r="K1" s="664"/>
      <c r="L1" s="665"/>
    </row>
    <row r="2" spans="1:12" ht="18" customHeight="1">
      <c r="A2" s="640" t="s">
        <v>593</v>
      </c>
      <c r="B2" s="641"/>
      <c r="C2" s="641"/>
      <c r="D2" s="641"/>
      <c r="E2" s="641"/>
      <c r="F2" s="641"/>
      <c r="G2" s="641"/>
      <c r="H2" s="641"/>
      <c r="I2" s="641"/>
      <c r="J2" s="641"/>
      <c r="K2" s="641"/>
      <c r="L2" s="642"/>
    </row>
    <row r="3" spans="1:12" ht="13.5" customHeight="1">
      <c r="A3" s="646" t="str">
        <f>CONCATENATE("Name of the Emp : ",DATA!AN3,"                                      ","Designation : ",DATA!AX3)</f>
        <v>Name of the Emp : G Kishore                                      Designation : SGT</v>
      </c>
      <c r="B3" s="647"/>
      <c r="C3" s="647"/>
      <c r="D3" s="647"/>
      <c r="E3" s="647"/>
      <c r="F3" s="647"/>
      <c r="G3" s="647"/>
      <c r="H3" s="647"/>
      <c r="I3" s="647"/>
      <c r="J3" s="647"/>
      <c r="K3" s="647"/>
      <c r="L3" s="648"/>
    </row>
    <row r="4" spans="1:12" ht="11.25" customHeight="1">
      <c r="A4" s="649" t="str">
        <f>CONCATENATE("Office : ",DATA!AM4,"                       ",IF(DATA!AT4&lt;&gt;"","Mandal : ",""),DATA!AT4,"                    Treasury ID: ",DATA!AX5)</f>
        <v>Office : MPPS Chenganapalle                       Mandal : Irala                    Treasury ID: 1105013</v>
      </c>
      <c r="B4" s="650"/>
      <c r="C4" s="650"/>
      <c r="D4" s="650"/>
      <c r="E4" s="650"/>
      <c r="F4" s="650"/>
      <c r="G4" s="650"/>
      <c r="H4" s="650"/>
      <c r="I4" s="650"/>
      <c r="J4" s="650"/>
      <c r="K4" s="650"/>
      <c r="L4" s="651"/>
    </row>
    <row r="5" spans="1:12" ht="15">
      <c r="A5" s="50" t="s">
        <v>124</v>
      </c>
      <c r="B5" s="51"/>
      <c r="C5" s="52"/>
      <c r="D5" s="52"/>
      <c r="E5" s="53">
        <f>IF(DATA!AY8="","",DATA!AY8)</f>
      </c>
      <c r="F5" s="53"/>
      <c r="G5" s="54"/>
      <c r="H5" s="51"/>
      <c r="I5" s="55"/>
      <c r="J5" s="55"/>
      <c r="K5" s="55"/>
      <c r="L5" s="56"/>
    </row>
    <row r="6" spans="1:12" ht="15">
      <c r="A6" s="57">
        <v>1</v>
      </c>
      <c r="B6" s="652" t="str">
        <f>CONCATENATE("Living in : ",DATA!U93," House")</f>
        <v>Living in : Rented House</v>
      </c>
      <c r="C6" s="653"/>
      <c r="D6" s="653"/>
      <c r="E6" s="653"/>
      <c r="F6" s="653"/>
      <c r="G6" s="656"/>
      <c r="H6" s="656"/>
      <c r="I6" s="656"/>
      <c r="J6" s="58"/>
      <c r="K6" s="347"/>
      <c r="L6" s="59"/>
    </row>
    <row r="7" spans="1:12" ht="15.75">
      <c r="A7" s="57">
        <v>2</v>
      </c>
      <c r="B7" s="628" t="s">
        <v>95</v>
      </c>
      <c r="C7" s="629"/>
      <c r="D7" s="629"/>
      <c r="E7" s="629"/>
      <c r="F7" s="629"/>
      <c r="G7" s="629"/>
      <c r="H7" s="629"/>
      <c r="I7" s="61" t="s">
        <v>96</v>
      </c>
      <c r="J7" s="62"/>
      <c r="K7" s="352"/>
      <c r="L7" s="366">
        <f>'Salary Details'!M23</f>
        <v>514575</v>
      </c>
    </row>
    <row r="8" spans="1:12" ht="15.75">
      <c r="A8" s="57">
        <v>3</v>
      </c>
      <c r="B8" s="633" t="s">
        <v>97</v>
      </c>
      <c r="C8" s="634"/>
      <c r="D8" s="634"/>
      <c r="E8" s="634"/>
      <c r="F8" s="634"/>
      <c r="G8" s="634"/>
      <c r="H8" s="634"/>
      <c r="I8" s="67"/>
      <c r="J8" s="68"/>
      <c r="K8" s="348"/>
      <c r="L8" s="644">
        <f>MIN(K9:K11)</f>
        <v>47097</v>
      </c>
    </row>
    <row r="9" spans="1:12" ht="15" customHeight="1">
      <c r="A9" s="57"/>
      <c r="B9" s="66" t="s">
        <v>98</v>
      </c>
      <c r="C9" s="643" t="s">
        <v>125</v>
      </c>
      <c r="D9" s="643"/>
      <c r="E9" s="643"/>
      <c r="F9" s="643"/>
      <c r="G9" s="643"/>
      <c r="H9" s="643"/>
      <c r="I9" s="67" t="s">
        <v>96</v>
      </c>
      <c r="J9" s="68"/>
      <c r="K9" s="349">
        <f>'Salary Details'!E23+IF(DATA!V6=2,'Salary Details'!F23,0)</f>
        <v>47097</v>
      </c>
      <c r="L9" s="644"/>
    </row>
    <row r="10" spans="1:12" ht="15" customHeight="1">
      <c r="A10" s="57"/>
      <c r="B10" s="66" t="s">
        <v>99</v>
      </c>
      <c r="C10" s="622" t="str">
        <f>CONCATENATE("Rent paid in excess of 10% Salary ","( Rs:",DATA!N134,"x12=",DATA!N139," - ",DATA!P133,")",)</f>
        <v>Rent paid in excess of 10% Salary ( Rs:7900x12=94800 - 46424)</v>
      </c>
      <c r="D10" s="622"/>
      <c r="E10" s="622"/>
      <c r="F10" s="622"/>
      <c r="G10" s="622"/>
      <c r="H10" s="622"/>
      <c r="I10" s="67" t="s">
        <v>96</v>
      </c>
      <c r="J10" s="68"/>
      <c r="K10" s="353">
        <f>IF(DATA!T93=1,DATA!P139,0)</f>
        <v>48376</v>
      </c>
      <c r="L10" s="644"/>
    </row>
    <row r="11" spans="1:28" ht="15" customHeight="1">
      <c r="A11" s="57"/>
      <c r="B11" s="66" t="s">
        <v>100</v>
      </c>
      <c r="C11" s="643" t="s">
        <v>101</v>
      </c>
      <c r="D11" s="643"/>
      <c r="E11" s="643"/>
      <c r="F11" s="643"/>
      <c r="G11" s="643"/>
      <c r="H11" s="643"/>
      <c r="I11" s="67" t="s">
        <v>96</v>
      </c>
      <c r="J11" s="68"/>
      <c r="K11" s="349">
        <f>ROUND(('Salary Details'!C23+'Salary Details'!D23)*40%,0)</f>
        <v>185695</v>
      </c>
      <c r="L11" s="645"/>
      <c r="AB11" s="48">
        <f>ROUND(('Salary Details'!C23+'Salary Details'!D23)*10%,0)</f>
        <v>46424</v>
      </c>
    </row>
    <row r="12" spans="1:28" ht="15.75">
      <c r="A12" s="57">
        <v>4</v>
      </c>
      <c r="B12" s="654" t="str">
        <f>CONCATENATE("Deduct (a)or(b)or(c) which ever is less [2 - 3]","i.e ",L7," - ",MIN(K9:K11)," = ",L7-MIN(L9:L11))</f>
        <v>Deduct (a)or(b)or(c) which ever is less [2 - 3]i.e 514575 - 47097 = 514575</v>
      </c>
      <c r="C12" s="655"/>
      <c r="D12" s="655"/>
      <c r="E12" s="655"/>
      <c r="F12" s="655"/>
      <c r="G12" s="655"/>
      <c r="H12" s="655"/>
      <c r="I12" s="67" t="s">
        <v>96</v>
      </c>
      <c r="J12" s="68"/>
      <c r="K12" s="349"/>
      <c r="L12" s="366">
        <f>IF(A69&lt;&gt;"",L7-L8,"")</f>
        <v>467478</v>
      </c>
      <c r="AB12" s="71">
        <f>L9</f>
        <v>0</v>
      </c>
    </row>
    <row r="13" spans="1:12" ht="15.75">
      <c r="A13" s="57">
        <v>5</v>
      </c>
      <c r="B13" s="628" t="s">
        <v>102</v>
      </c>
      <c r="C13" s="629"/>
      <c r="D13" s="629"/>
      <c r="E13" s="629"/>
      <c r="F13" s="629"/>
      <c r="G13" s="629"/>
      <c r="H13" s="629"/>
      <c r="I13" s="67"/>
      <c r="J13" s="68"/>
      <c r="K13" s="349"/>
      <c r="L13" s="65"/>
    </row>
    <row r="14" spans="1:12" ht="15" customHeight="1">
      <c r="A14" s="57"/>
      <c r="B14" s="66" t="s">
        <v>98</v>
      </c>
      <c r="C14" s="639" t="s">
        <v>103</v>
      </c>
      <c r="D14" s="639"/>
      <c r="E14" s="639"/>
      <c r="F14" s="639"/>
      <c r="G14" s="639"/>
      <c r="H14" s="639"/>
      <c r="I14" s="67" t="s">
        <v>96</v>
      </c>
      <c r="J14" s="68"/>
      <c r="K14" s="349"/>
      <c r="L14" s="69"/>
    </row>
    <row r="15" spans="1:14" ht="15" customHeight="1">
      <c r="A15" s="57"/>
      <c r="B15" s="66" t="s">
        <v>99</v>
      </c>
      <c r="C15" s="72" t="s">
        <v>128</v>
      </c>
      <c r="D15" s="72"/>
      <c r="E15" s="72"/>
      <c r="F15" s="72"/>
      <c r="G15" s="72"/>
      <c r="H15" s="72"/>
      <c r="I15" s="67" t="s">
        <v>96</v>
      </c>
      <c r="J15" s="68"/>
      <c r="K15" s="349"/>
      <c r="L15" s="73"/>
      <c r="N15" s="368"/>
    </row>
    <row r="16" spans="1:12" ht="15" customHeight="1">
      <c r="A16" s="57"/>
      <c r="B16" s="66" t="s">
        <v>100</v>
      </c>
      <c r="C16" s="635" t="s">
        <v>104</v>
      </c>
      <c r="D16" s="635"/>
      <c r="E16" s="635"/>
      <c r="F16" s="635"/>
      <c r="G16" s="635"/>
      <c r="H16" s="72"/>
      <c r="I16" s="67" t="s">
        <v>96</v>
      </c>
      <c r="J16" s="68"/>
      <c r="K16" s="349">
        <f>'Salary Details'!Q23</f>
        <v>2400</v>
      </c>
      <c r="L16" s="69">
        <f>K14+K15+K16</f>
        <v>2400</v>
      </c>
    </row>
    <row r="17" spans="1:18" ht="16.5">
      <c r="A17" s="57">
        <v>6</v>
      </c>
      <c r="B17" s="628" t="s">
        <v>129</v>
      </c>
      <c r="C17" s="629"/>
      <c r="D17" s="629"/>
      <c r="E17" s="629"/>
      <c r="F17" s="629"/>
      <c r="G17" s="629"/>
      <c r="H17" s="629"/>
      <c r="I17" s="67" t="s">
        <v>96</v>
      </c>
      <c r="J17" s="68"/>
      <c r="K17" s="349"/>
      <c r="L17" s="354">
        <f>L12-L16</f>
        <v>465078</v>
      </c>
      <c r="R17" s="74"/>
    </row>
    <row r="18" spans="1:12" ht="15" customHeight="1">
      <c r="A18" s="57">
        <v>7</v>
      </c>
      <c r="B18" s="82" t="s">
        <v>98</v>
      </c>
      <c r="C18" s="75" t="s">
        <v>105</v>
      </c>
      <c r="D18" s="75"/>
      <c r="E18" s="75"/>
      <c r="F18" s="75"/>
      <c r="G18" s="75"/>
      <c r="H18" s="76"/>
      <c r="I18" s="67" t="s">
        <v>96</v>
      </c>
      <c r="J18" s="68"/>
      <c r="K18" s="349">
        <v>0</v>
      </c>
      <c r="L18" s="77"/>
    </row>
    <row r="19" spans="1:12" ht="15" customHeight="1">
      <c r="A19" s="57"/>
      <c r="B19" s="82" t="s">
        <v>99</v>
      </c>
      <c r="C19" s="75" t="s">
        <v>328</v>
      </c>
      <c r="D19" s="75"/>
      <c r="E19" s="75"/>
      <c r="F19" s="75"/>
      <c r="G19" s="75"/>
      <c r="H19" s="76"/>
      <c r="I19" s="67" t="s">
        <v>96</v>
      </c>
      <c r="J19" s="68"/>
      <c r="K19" s="349">
        <f>DATA!AU13</f>
        <v>0</v>
      </c>
      <c r="L19" s="65"/>
    </row>
    <row r="20" spans="1:12" ht="16.5">
      <c r="A20" s="57">
        <v>8</v>
      </c>
      <c r="B20" s="628" t="s">
        <v>255</v>
      </c>
      <c r="C20" s="629"/>
      <c r="D20" s="629"/>
      <c r="E20" s="629"/>
      <c r="F20" s="629"/>
      <c r="G20" s="629"/>
      <c r="H20" s="629"/>
      <c r="I20" s="67" t="s">
        <v>96</v>
      </c>
      <c r="J20" s="68"/>
      <c r="K20" s="349"/>
      <c r="L20" s="354">
        <f>L17+K18-K19</f>
        <v>465078</v>
      </c>
    </row>
    <row r="21" spans="1:12" ht="15.75">
      <c r="A21" s="57">
        <v>9</v>
      </c>
      <c r="B21" s="666" t="s">
        <v>531</v>
      </c>
      <c r="C21" s="667"/>
      <c r="D21" s="667"/>
      <c r="E21" s="667"/>
      <c r="F21" s="667"/>
      <c r="G21" s="667"/>
      <c r="H21" s="667"/>
      <c r="I21" s="67"/>
      <c r="J21" s="68"/>
      <c r="K21" s="349"/>
      <c r="L21" s="660">
        <f>IF(SUM(K22:K32)&gt;150000,150000,SUM(K22:K32))</f>
        <v>150000</v>
      </c>
    </row>
    <row r="22" spans="1:12" ht="15" customHeight="1">
      <c r="A22" s="57"/>
      <c r="B22" s="66" t="s">
        <v>98</v>
      </c>
      <c r="C22" s="622" t="str">
        <f>DATA!R74</f>
        <v>ZPPF</v>
      </c>
      <c r="D22" s="622"/>
      <c r="E22" s="622"/>
      <c r="F22" s="78"/>
      <c r="G22" s="70"/>
      <c r="H22" s="79"/>
      <c r="I22" s="67" t="s">
        <v>96</v>
      </c>
      <c r="J22" s="68"/>
      <c r="K22" s="357">
        <f>IF(AND(DATA!$Q$74=3,('Salary Details'!N23+DATA!AW21)&gt;50000),('Salary Details'!N23+DATA!AW21)-50000,IF(OR(DATA!$Q$74=1,DATA!$Q$74=2),('Salary Details'!N23+DATA!AW21),""))</f>
        <v>161200</v>
      </c>
      <c r="L22" s="644"/>
    </row>
    <row r="23" spans="1:12" ht="15" customHeight="1">
      <c r="A23" s="57"/>
      <c r="B23" s="66" t="s">
        <v>99</v>
      </c>
      <c r="C23" s="622" t="s">
        <v>89</v>
      </c>
      <c r="D23" s="622"/>
      <c r="E23" s="70"/>
      <c r="F23" s="81"/>
      <c r="G23" s="79"/>
      <c r="H23" s="79"/>
      <c r="I23" s="67" t="s">
        <v>96</v>
      </c>
      <c r="J23" s="68"/>
      <c r="K23" s="357">
        <f>'Salary Details'!O23</f>
        <v>5400</v>
      </c>
      <c r="L23" s="644"/>
    </row>
    <row r="24" spans="1:12" ht="15" customHeight="1">
      <c r="A24" s="57"/>
      <c r="B24" s="66" t="s">
        <v>100</v>
      </c>
      <c r="C24" s="70" t="s">
        <v>91</v>
      </c>
      <c r="D24" s="70"/>
      <c r="E24" s="70"/>
      <c r="F24" s="70"/>
      <c r="G24" s="70"/>
      <c r="H24" s="70"/>
      <c r="I24" s="67" t="s">
        <v>96</v>
      </c>
      <c r="J24" s="68"/>
      <c r="K24" s="357">
        <f>'Salary Details'!P23</f>
        <v>720</v>
      </c>
      <c r="L24" s="644"/>
    </row>
    <row r="25" spans="1:12" ht="15" customHeight="1">
      <c r="A25" s="57"/>
      <c r="B25" s="82" t="s">
        <v>107</v>
      </c>
      <c r="C25" s="622" t="str">
        <f>DATA!C101</f>
        <v>PLI Annual Premuim</v>
      </c>
      <c r="D25" s="622"/>
      <c r="E25" s="622"/>
      <c r="F25" s="622"/>
      <c r="G25" s="622"/>
      <c r="H25" s="622"/>
      <c r="I25" s="67" t="s">
        <v>96</v>
      </c>
      <c r="J25" s="68"/>
      <c r="K25" s="357">
        <f>DATA!AO14</f>
        <v>0</v>
      </c>
      <c r="L25" s="644"/>
    </row>
    <row r="26" spans="1:12" ht="15" customHeight="1">
      <c r="A26" s="57"/>
      <c r="B26" s="66" t="s">
        <v>108</v>
      </c>
      <c r="C26" s="622" t="str">
        <f>DATA!C102</f>
        <v>Tution Fee for 2 Chidren</v>
      </c>
      <c r="D26" s="622"/>
      <c r="E26" s="622"/>
      <c r="F26" s="622"/>
      <c r="G26" s="622"/>
      <c r="H26" s="622"/>
      <c r="I26" s="67" t="s">
        <v>96</v>
      </c>
      <c r="J26" s="68"/>
      <c r="K26" s="357">
        <f>DATA!AO15</f>
        <v>0</v>
      </c>
      <c r="L26" s="644"/>
    </row>
    <row r="27" spans="1:12" ht="15" customHeight="1">
      <c r="A27" s="57"/>
      <c r="B27" s="66" t="s">
        <v>109</v>
      </c>
      <c r="C27" s="622" t="str">
        <f>DATA!C103</f>
        <v>LIC Annual Premiums </v>
      </c>
      <c r="D27" s="622"/>
      <c r="E27" s="622"/>
      <c r="F27" s="622"/>
      <c r="G27" s="622"/>
      <c r="H27" s="622"/>
      <c r="I27" s="67" t="s">
        <v>96</v>
      </c>
      <c r="J27" s="68"/>
      <c r="K27" s="357">
        <f>DATA!AO16</f>
        <v>0</v>
      </c>
      <c r="L27" s="644"/>
    </row>
    <row r="28" spans="1:12" ht="15" customHeight="1">
      <c r="A28" s="57"/>
      <c r="B28" s="82" t="s">
        <v>110</v>
      </c>
      <c r="C28" s="622" t="str">
        <f>DATA!C104</f>
        <v>Repayment of Home Loan Premium</v>
      </c>
      <c r="D28" s="622"/>
      <c r="E28" s="622"/>
      <c r="F28" s="622"/>
      <c r="G28" s="622"/>
      <c r="H28" s="622"/>
      <c r="I28" s="67" t="s">
        <v>96</v>
      </c>
      <c r="J28" s="68"/>
      <c r="K28" s="357">
        <f>DATA!AO17</f>
        <v>0</v>
      </c>
      <c r="L28" s="644"/>
    </row>
    <row r="29" spans="1:12" ht="15" customHeight="1">
      <c r="A29" s="57"/>
      <c r="B29" s="66" t="s">
        <v>111</v>
      </c>
      <c r="C29" s="622" t="str">
        <f>DATA!C105</f>
        <v>5 Years Fixed Deposits </v>
      </c>
      <c r="D29" s="622"/>
      <c r="E29" s="622"/>
      <c r="F29" s="622"/>
      <c r="G29" s="622"/>
      <c r="H29" s="622"/>
      <c r="I29" s="67" t="s">
        <v>96</v>
      </c>
      <c r="J29" s="68"/>
      <c r="K29" s="357">
        <f>DATA!AO18</f>
        <v>0</v>
      </c>
      <c r="L29" s="644"/>
    </row>
    <row r="30" spans="1:12" ht="15" customHeight="1">
      <c r="A30" s="57"/>
      <c r="B30" s="82" t="s">
        <v>113</v>
      </c>
      <c r="C30" s="622" t="str">
        <f>DATA!C106</f>
        <v>Repayment of Home Loan Premium</v>
      </c>
      <c r="D30" s="622"/>
      <c r="E30" s="622"/>
      <c r="F30" s="622"/>
      <c r="G30" s="622"/>
      <c r="H30" s="622"/>
      <c r="I30" s="67" t="s">
        <v>96</v>
      </c>
      <c r="J30" s="68"/>
      <c r="K30" s="357">
        <f>DATA!AO19</f>
        <v>0</v>
      </c>
      <c r="L30" s="644"/>
    </row>
    <row r="31" spans="1:12" ht="15" customHeight="1">
      <c r="A31" s="57"/>
      <c r="B31" s="66" t="s">
        <v>114</v>
      </c>
      <c r="C31" s="622" t="str">
        <f>DATA!C107</f>
        <v>Others U/s 80 C</v>
      </c>
      <c r="D31" s="622"/>
      <c r="E31" s="622"/>
      <c r="F31" s="622"/>
      <c r="G31" s="622"/>
      <c r="H31" s="622"/>
      <c r="I31" s="67" t="s">
        <v>96</v>
      </c>
      <c r="J31" s="68"/>
      <c r="K31" s="357">
        <f>DATA!AO20</f>
        <v>0</v>
      </c>
      <c r="L31" s="644"/>
    </row>
    <row r="32" spans="1:12" ht="15" customHeight="1">
      <c r="A32" s="57"/>
      <c r="B32" s="82" t="s">
        <v>115</v>
      </c>
      <c r="C32" s="622" t="str">
        <f>IF(DATA!AN12=0,"Others if any","LIC Salary Deduction")</f>
        <v>Others if any</v>
      </c>
      <c r="D32" s="622"/>
      <c r="E32" s="622"/>
      <c r="F32" s="622"/>
      <c r="G32" s="622"/>
      <c r="H32" s="70"/>
      <c r="I32" s="67" t="s">
        <v>96</v>
      </c>
      <c r="J32" s="68"/>
      <c r="K32" s="357">
        <f>DATA!AN12*12</f>
        <v>0</v>
      </c>
      <c r="L32" s="644"/>
    </row>
    <row r="33" spans="1:12" ht="16.5">
      <c r="A33" s="57">
        <v>10</v>
      </c>
      <c r="B33" s="85" t="s">
        <v>133</v>
      </c>
      <c r="C33" s="86"/>
      <c r="D33" s="86"/>
      <c r="E33" s="86"/>
      <c r="F33" s="60"/>
      <c r="G33" s="60"/>
      <c r="H33" s="87"/>
      <c r="I33" s="83" t="s">
        <v>96</v>
      </c>
      <c r="J33" s="84"/>
      <c r="K33" s="358">
        <f>SUM(K22:K32)</f>
        <v>167320</v>
      </c>
      <c r="L33" s="661"/>
    </row>
    <row r="34" spans="1:12" ht="15.75">
      <c r="A34" s="57">
        <v>11</v>
      </c>
      <c r="B34" s="628" t="str">
        <f>CONCATENATE("Gross Total Income[8-10] i.e Rs ",L20," - ",L21," = ",L34)</f>
        <v>Gross Total Income[8-10] i.e Rs 465078 - 150000 = 315078</v>
      </c>
      <c r="C34" s="629"/>
      <c r="D34" s="629"/>
      <c r="E34" s="629"/>
      <c r="F34" s="629"/>
      <c r="G34" s="629"/>
      <c r="H34" s="630"/>
      <c r="I34" s="88" t="s">
        <v>96</v>
      </c>
      <c r="J34" s="89"/>
      <c r="K34" s="359"/>
      <c r="L34" s="356">
        <f>L20-L21</f>
        <v>315078</v>
      </c>
    </row>
    <row r="35" spans="1:12" ht="15.75">
      <c r="A35" s="57">
        <v>12</v>
      </c>
      <c r="B35" s="628" t="s">
        <v>106</v>
      </c>
      <c r="C35" s="629"/>
      <c r="D35" s="629"/>
      <c r="E35" s="629"/>
      <c r="F35" s="629"/>
      <c r="G35" s="629"/>
      <c r="H35" s="630"/>
      <c r="I35" s="63"/>
      <c r="J35" s="64"/>
      <c r="K35" s="355"/>
      <c r="L35" s="657">
        <f>K46</f>
        <v>1150</v>
      </c>
    </row>
    <row r="36" spans="1:12" ht="15" customHeight="1">
      <c r="A36" s="57"/>
      <c r="B36" s="66" t="s">
        <v>98</v>
      </c>
      <c r="C36" s="622" t="str">
        <f>DATA!AP14</f>
        <v>Medical Insurance Premium          Rs</v>
      </c>
      <c r="D36" s="622"/>
      <c r="E36" s="622"/>
      <c r="F36" s="622"/>
      <c r="G36" s="622"/>
      <c r="H36" s="90"/>
      <c r="I36" s="91" t="s">
        <v>96</v>
      </c>
      <c r="J36" s="92"/>
      <c r="K36" s="357">
        <f>DATA!AU14</f>
        <v>0</v>
      </c>
      <c r="L36" s="658"/>
    </row>
    <row r="37" spans="1:12" ht="15" customHeight="1">
      <c r="A37" s="57"/>
      <c r="B37" s="66" t="s">
        <v>99</v>
      </c>
      <c r="C37" s="622" t="str">
        <f>DATA!AP15</f>
        <v>Expenditure on medical treatment    Rs</v>
      </c>
      <c r="D37" s="622"/>
      <c r="E37" s="622"/>
      <c r="F37" s="622"/>
      <c r="G37" s="622"/>
      <c r="H37" s="90"/>
      <c r="I37" s="91" t="s">
        <v>96</v>
      </c>
      <c r="J37" s="92"/>
      <c r="K37" s="357">
        <f>DATA!AU15</f>
        <v>0</v>
      </c>
      <c r="L37" s="658"/>
    </row>
    <row r="38" spans="1:12" ht="15" customHeight="1">
      <c r="A38" s="57"/>
      <c r="B38" s="66" t="s">
        <v>100</v>
      </c>
      <c r="C38" s="622" t="str">
        <f>DATA!AP16</f>
        <v>Donation of Charitable Institution       Rs</v>
      </c>
      <c r="D38" s="622"/>
      <c r="E38" s="622"/>
      <c r="F38" s="622"/>
      <c r="G38" s="622"/>
      <c r="H38" s="90"/>
      <c r="I38" s="91" t="s">
        <v>96</v>
      </c>
      <c r="J38" s="92"/>
      <c r="K38" s="357">
        <f>DATA!AU16</f>
        <v>0</v>
      </c>
      <c r="L38" s="658"/>
    </row>
    <row r="39" spans="1:12" ht="15" customHeight="1">
      <c r="A39" s="57"/>
      <c r="B39" s="66" t="s">
        <v>107</v>
      </c>
      <c r="C39" s="622" t="str">
        <f>DATA!AP17</f>
        <v>Interest on Educational Loan         Rs</v>
      </c>
      <c r="D39" s="622"/>
      <c r="E39" s="622"/>
      <c r="F39" s="622"/>
      <c r="G39" s="622"/>
      <c r="H39" s="90"/>
      <c r="I39" s="91" t="s">
        <v>96</v>
      </c>
      <c r="J39" s="92"/>
      <c r="K39" s="357">
        <f>DATA!AU17</f>
        <v>0</v>
      </c>
      <c r="L39" s="658"/>
    </row>
    <row r="40" spans="1:12" ht="15" customHeight="1">
      <c r="A40" s="57"/>
      <c r="B40" s="66" t="s">
        <v>108</v>
      </c>
      <c r="C40" s="622" t="str">
        <f>DATA!AP18</f>
        <v>Rajiv Gandhi Equity Savings Scheme
(RGESS)</v>
      </c>
      <c r="D40" s="622"/>
      <c r="E40" s="622"/>
      <c r="F40" s="622"/>
      <c r="G40" s="622"/>
      <c r="H40" s="90"/>
      <c r="I40" s="91" t="s">
        <v>96</v>
      </c>
      <c r="J40" s="92"/>
      <c r="K40" s="357">
        <f>DATA!AU18</f>
        <v>0</v>
      </c>
      <c r="L40" s="658"/>
    </row>
    <row r="41" spans="1:12" ht="15" customHeight="1">
      <c r="A41" s="57"/>
      <c r="B41" s="66" t="s">
        <v>109</v>
      </c>
      <c r="C41" s="622" t="str">
        <f>DATA!AP19</f>
        <v>Medical treatment U/s                   Rs</v>
      </c>
      <c r="D41" s="622"/>
      <c r="E41" s="622"/>
      <c r="F41" s="622"/>
      <c r="G41" s="622"/>
      <c r="H41" s="70"/>
      <c r="I41" s="91" t="s">
        <v>96</v>
      </c>
      <c r="J41" s="93"/>
      <c r="K41" s="357">
        <f>DATA!AU19</f>
        <v>0</v>
      </c>
      <c r="L41" s="658"/>
    </row>
    <row r="42" spans="1:12" ht="15" customHeight="1">
      <c r="A42" s="57"/>
      <c r="B42" s="66" t="s">
        <v>110</v>
      </c>
      <c r="C42" s="622" t="str">
        <f>DATA!AP20</f>
        <v>Maintaince and expenditure treatment for disabled dependent                       Rs</v>
      </c>
      <c r="D42" s="622"/>
      <c r="E42" s="622"/>
      <c r="F42" s="622"/>
      <c r="G42" s="622"/>
      <c r="H42" s="70"/>
      <c r="I42" s="91" t="s">
        <v>96</v>
      </c>
      <c r="J42" s="93"/>
      <c r="K42" s="357">
        <f>DATA!AU20</f>
        <v>0</v>
      </c>
      <c r="L42" s="658"/>
    </row>
    <row r="43" spans="1:12" ht="15" customHeight="1">
      <c r="A43" s="57"/>
      <c r="B43" s="66" t="s">
        <v>111</v>
      </c>
      <c r="C43" s="662" t="s">
        <v>556</v>
      </c>
      <c r="D43" s="662"/>
      <c r="E43" s="662"/>
      <c r="F43" s="662"/>
      <c r="G43" s="662"/>
      <c r="H43" s="662"/>
      <c r="I43" s="91" t="s">
        <v>96</v>
      </c>
      <c r="J43" s="92"/>
      <c r="K43" s="357">
        <f>'Salary Details'!S23+'Salary Details'!R23</f>
        <v>1150</v>
      </c>
      <c r="L43" s="658"/>
    </row>
    <row r="44" spans="1:12" ht="15" customHeight="1">
      <c r="A44" s="57"/>
      <c r="B44" s="66" t="s">
        <v>113</v>
      </c>
      <c r="C44" s="96" t="s">
        <v>266</v>
      </c>
      <c r="D44" s="96"/>
      <c r="E44" s="96"/>
      <c r="F44" s="96"/>
      <c r="G44" s="96"/>
      <c r="H44" s="94"/>
      <c r="I44" s="91" t="s">
        <v>96</v>
      </c>
      <c r="J44" s="92"/>
      <c r="K44" s="357">
        <f>DATA!AO13</f>
        <v>0</v>
      </c>
      <c r="L44" s="658"/>
    </row>
    <row r="45" spans="1:12" ht="15" customHeight="1">
      <c r="A45" s="57"/>
      <c r="B45" s="66" t="s">
        <v>114</v>
      </c>
      <c r="C45" s="96" t="s">
        <v>558</v>
      </c>
      <c r="D45" s="96"/>
      <c r="E45" s="96"/>
      <c r="F45" s="96"/>
      <c r="G45" s="96"/>
      <c r="H45" s="94"/>
      <c r="I45" s="360" t="s">
        <v>96</v>
      </c>
      <c r="J45" s="93"/>
      <c r="K45" s="361">
        <f>IF(DATA!$Q$74=3,IF(('Salary Details'!N23+DATA!AW21)&lt;=50000,('Salary Details'!N23+DATA!AW21),50000),"")</f>
      </c>
      <c r="L45" s="658"/>
    </row>
    <row r="46" spans="1:12" ht="15.75">
      <c r="A46" s="57"/>
      <c r="B46" s="631" t="s">
        <v>112</v>
      </c>
      <c r="C46" s="632"/>
      <c r="D46" s="632"/>
      <c r="E46" s="632"/>
      <c r="F46" s="632"/>
      <c r="G46" s="632"/>
      <c r="H46" s="632"/>
      <c r="I46" s="362" t="s">
        <v>96</v>
      </c>
      <c r="J46" s="363"/>
      <c r="K46" s="364">
        <f>SUM(K36:K45)</f>
        <v>1150</v>
      </c>
      <c r="L46" s="659"/>
    </row>
    <row r="47" spans="1:12" ht="15.75">
      <c r="A47" s="57">
        <v>13</v>
      </c>
      <c r="B47" s="628" t="str">
        <f>CONCATENATE("Net Total Income  (11-12) i.e ( Rs:",L34," - ",L35," = ",L47,")")</f>
        <v>Net Total Income  (11-12) i.e ( Rs:315078 - 1150 = 313928)</v>
      </c>
      <c r="C47" s="629"/>
      <c r="D47" s="629"/>
      <c r="E47" s="629"/>
      <c r="F47" s="629"/>
      <c r="G47" s="629"/>
      <c r="H47" s="629"/>
      <c r="I47" s="67" t="s">
        <v>96</v>
      </c>
      <c r="J47" s="68"/>
      <c r="K47" s="348"/>
      <c r="L47" s="365">
        <f>L34-L35</f>
        <v>313928</v>
      </c>
    </row>
    <row r="48" spans="1:12" ht="15.75">
      <c r="A48" s="57">
        <v>14</v>
      </c>
      <c r="B48" s="628" t="s">
        <v>327</v>
      </c>
      <c r="C48" s="629"/>
      <c r="D48" s="629"/>
      <c r="E48" s="629"/>
      <c r="F48" s="629"/>
      <c r="G48" s="629"/>
      <c r="H48" s="629"/>
      <c r="I48" s="67" t="s">
        <v>96</v>
      </c>
      <c r="J48" s="68"/>
      <c r="K48" s="348"/>
      <c r="L48" s="98">
        <f>ROUND(L47,-1)</f>
        <v>313930</v>
      </c>
    </row>
    <row r="49" spans="1:12" ht="15.75">
      <c r="A49" s="57">
        <v>15</v>
      </c>
      <c r="B49" s="85" t="str">
        <f>CONCATENATE("Tax on net total Income ( i.e Tax on Rs: ",DATA!V141,")")</f>
        <v>Tax on net total Income ( i.e Tax on Rs: 63930)</v>
      </c>
      <c r="C49" s="86"/>
      <c r="D49" s="86"/>
      <c r="E49" s="86"/>
      <c r="F49" s="86"/>
      <c r="G49" s="86"/>
      <c r="H49" s="60"/>
      <c r="I49" s="67"/>
      <c r="J49" s="68"/>
      <c r="K49" s="348"/>
      <c r="L49" s="99"/>
    </row>
    <row r="50" spans="1:12" ht="15" customHeight="1">
      <c r="A50" s="57"/>
      <c r="B50" s="66" t="s">
        <v>98</v>
      </c>
      <c r="C50" s="635" t="str">
        <f>DATA!S122</f>
        <v>Up to Rs. 2,50,000</v>
      </c>
      <c r="D50" s="635"/>
      <c r="E50" s="635"/>
      <c r="F50" s="635"/>
      <c r="G50" s="635"/>
      <c r="H50" s="636"/>
      <c r="I50" s="67" t="s">
        <v>96</v>
      </c>
      <c r="J50" s="68"/>
      <c r="K50" s="348"/>
      <c r="L50" s="100" t="s">
        <v>135</v>
      </c>
    </row>
    <row r="51" spans="1:12" ht="15" customHeight="1">
      <c r="A51" s="57"/>
      <c r="B51" s="66" t="s">
        <v>99</v>
      </c>
      <c r="C51" s="637" t="str">
        <f>DATA!S137</f>
        <v>Rs.2,50,001 To 5,00,000.    (@ 10%)( i.e 63930x10%)</v>
      </c>
      <c r="D51" s="637"/>
      <c r="E51" s="637"/>
      <c r="F51" s="637"/>
      <c r="G51" s="637"/>
      <c r="H51" s="638"/>
      <c r="I51" s="67" t="s">
        <v>96</v>
      </c>
      <c r="J51" s="68"/>
      <c r="K51" s="348"/>
      <c r="L51" s="99">
        <f>DATA!W137</f>
        <v>6393</v>
      </c>
    </row>
    <row r="52" spans="1:12" ht="15" customHeight="1">
      <c r="A52" s="57"/>
      <c r="B52" s="66" t="s">
        <v>100</v>
      </c>
      <c r="C52" s="668" t="str">
        <f>DATA!S138</f>
        <v>Rs.5,00,001 To10,00,000.   (@ 20%)</v>
      </c>
      <c r="D52" s="668"/>
      <c r="E52" s="668"/>
      <c r="F52" s="668"/>
      <c r="G52" s="668"/>
      <c r="H52" s="669"/>
      <c r="I52" s="67" t="s">
        <v>96</v>
      </c>
      <c r="J52" s="68"/>
      <c r="K52" s="348"/>
      <c r="L52" s="99">
        <f>DATA!W138</f>
        <v>0</v>
      </c>
    </row>
    <row r="53" spans="1:12" ht="15" customHeight="1">
      <c r="A53" s="57"/>
      <c r="B53" s="66" t="s">
        <v>107</v>
      </c>
      <c r="C53" s="670" t="str">
        <f>DATA!S139</f>
        <v>above Rs.10,00,001.          (@ 30%)</v>
      </c>
      <c r="D53" s="670"/>
      <c r="E53" s="670"/>
      <c r="F53" s="670"/>
      <c r="G53" s="670"/>
      <c r="H53" s="671"/>
      <c r="I53" s="67" t="s">
        <v>96</v>
      </c>
      <c r="J53" s="68"/>
      <c r="K53" s="348"/>
      <c r="L53" s="99">
        <f>DATA!W139</f>
        <v>0</v>
      </c>
    </row>
    <row r="54" spans="1:12" ht="15" customHeight="1">
      <c r="A54" s="57">
        <v>16</v>
      </c>
      <c r="B54" s="633" t="s">
        <v>608</v>
      </c>
      <c r="C54" s="634"/>
      <c r="D54" s="634"/>
      <c r="E54" s="634"/>
      <c r="F54" s="634"/>
      <c r="G54" s="634"/>
      <c r="H54" s="678"/>
      <c r="I54" s="67" t="str">
        <f>I53</f>
        <v>Rs.</v>
      </c>
      <c r="J54" s="68"/>
      <c r="K54" s="348"/>
      <c r="L54" s="99">
        <f>IF(IF(L48&lt;=200000,0,IF(AND(L48&gt;200000,L48&lt;=500000),L51+L52+L53-5000,IF(L48&gt;=500000,L51+L52+L53,L51+L52+L53)))&lt;=0,0,IF(L48&lt;=200000,0,IF(AND(L48&gt;200000,L48&lt;=500000),L51+L52+L53-5000,IF(L48&gt;=500000,L51+L52+L53,L51+L52+L53))))</f>
        <v>1393</v>
      </c>
    </row>
    <row r="55" spans="1:12" ht="15" customHeight="1">
      <c r="A55" s="57">
        <v>17</v>
      </c>
      <c r="B55" s="633" t="s">
        <v>116</v>
      </c>
      <c r="C55" s="634"/>
      <c r="D55" s="634"/>
      <c r="E55" s="634"/>
      <c r="F55" s="634"/>
      <c r="G55" s="634"/>
      <c r="H55" s="79"/>
      <c r="I55" s="67" t="s">
        <v>96</v>
      </c>
      <c r="J55" s="101"/>
      <c r="K55" s="350"/>
      <c r="L55" s="99">
        <f>ROUND(L54*1%,0)</f>
        <v>14</v>
      </c>
    </row>
    <row r="56" spans="1:12" ht="15" customHeight="1">
      <c r="A56" s="57">
        <v>18</v>
      </c>
      <c r="B56" s="633" t="s">
        <v>117</v>
      </c>
      <c r="C56" s="634"/>
      <c r="D56" s="634"/>
      <c r="E56" s="634"/>
      <c r="F56" s="634"/>
      <c r="G56" s="634"/>
      <c r="H56" s="79"/>
      <c r="I56" s="67" t="s">
        <v>96</v>
      </c>
      <c r="J56" s="101"/>
      <c r="K56" s="350"/>
      <c r="L56" s="99">
        <f>ROUND(L54*2%,0)</f>
        <v>28</v>
      </c>
    </row>
    <row r="57" spans="1:12" s="49" customFormat="1" ht="15.75">
      <c r="A57" s="1">
        <v>19</v>
      </c>
      <c r="B57" s="679" t="s">
        <v>331</v>
      </c>
      <c r="C57" s="680"/>
      <c r="D57" s="680"/>
      <c r="E57" s="680"/>
      <c r="F57" s="680"/>
      <c r="G57" s="680"/>
      <c r="H57" s="10"/>
      <c r="I57" s="4" t="s">
        <v>96</v>
      </c>
      <c r="J57" s="5"/>
      <c r="K57" s="351"/>
      <c r="L57" s="33">
        <f>IF(ISERROR(L54+L55+L56),"",L54+L55+L56)</f>
        <v>1435</v>
      </c>
    </row>
    <row r="58" spans="1:12" s="49" customFormat="1" ht="15.75">
      <c r="A58" s="1">
        <v>20</v>
      </c>
      <c r="B58" s="679" t="s">
        <v>118</v>
      </c>
      <c r="C58" s="680"/>
      <c r="D58" s="680"/>
      <c r="E58" s="680"/>
      <c r="F58" s="680"/>
      <c r="G58" s="680"/>
      <c r="H58" s="10"/>
      <c r="I58" s="4" t="s">
        <v>96</v>
      </c>
      <c r="J58" s="5"/>
      <c r="K58" s="351"/>
      <c r="L58" s="33"/>
    </row>
    <row r="59" spans="1:12" s="49" customFormat="1" ht="15.75">
      <c r="A59" s="1"/>
      <c r="B59" s="3" t="s">
        <v>98</v>
      </c>
      <c r="C59" s="9" t="s">
        <v>119</v>
      </c>
      <c r="D59" s="676">
        <v>42675</v>
      </c>
      <c r="E59" s="676"/>
      <c r="F59" s="11" t="s">
        <v>96</v>
      </c>
      <c r="G59" s="12">
        <f>SUM(DATA!AZ14:AZ18)</f>
        <v>0</v>
      </c>
      <c r="H59" s="8"/>
      <c r="I59" s="13"/>
      <c r="J59" s="2"/>
      <c r="K59" s="2"/>
      <c r="L59" s="34"/>
    </row>
    <row r="60" spans="1:12" s="49" customFormat="1" ht="15.75">
      <c r="A60" s="1"/>
      <c r="B60" s="3" t="s">
        <v>99</v>
      </c>
      <c r="C60" s="14"/>
      <c r="D60" s="676">
        <v>42705</v>
      </c>
      <c r="E60" s="676"/>
      <c r="F60" s="11" t="s">
        <v>96</v>
      </c>
      <c r="G60" s="12">
        <f>DATA!AZ19</f>
        <v>0</v>
      </c>
      <c r="H60" s="8"/>
      <c r="I60" s="13"/>
      <c r="J60" s="2"/>
      <c r="K60" s="2"/>
      <c r="L60" s="34"/>
    </row>
    <row r="61" spans="1:12" s="49" customFormat="1" ht="15.75">
      <c r="A61" s="1"/>
      <c r="B61" s="3" t="s">
        <v>100</v>
      </c>
      <c r="C61" s="14"/>
      <c r="D61" s="676">
        <v>42736</v>
      </c>
      <c r="E61" s="676"/>
      <c r="F61" s="11" t="s">
        <v>96</v>
      </c>
      <c r="G61" s="12">
        <f>DATA!AZ20</f>
        <v>0</v>
      </c>
      <c r="H61" s="8"/>
      <c r="I61" s="13"/>
      <c r="J61" s="2"/>
      <c r="K61" s="2"/>
      <c r="L61" s="34"/>
    </row>
    <row r="62" spans="1:12" s="49" customFormat="1" ht="15.75">
      <c r="A62" s="1"/>
      <c r="B62" s="3"/>
      <c r="C62" s="677" t="s">
        <v>120</v>
      </c>
      <c r="D62" s="677"/>
      <c r="E62" s="677"/>
      <c r="F62" s="677"/>
      <c r="G62" s="18">
        <f>SUM(G59:G61)</f>
        <v>0</v>
      </c>
      <c r="H62" s="8"/>
      <c r="I62" s="13"/>
      <c r="J62" s="2"/>
      <c r="K62" s="2"/>
      <c r="L62" s="34"/>
    </row>
    <row r="63" spans="1:12" s="49" customFormat="1" ht="15.75">
      <c r="A63" s="369">
        <v>21</v>
      </c>
      <c r="B63" s="672" t="s">
        <v>121</v>
      </c>
      <c r="C63" s="673"/>
      <c r="D63" s="673"/>
      <c r="E63" s="673"/>
      <c r="F63" s="673"/>
      <c r="G63" s="673"/>
      <c r="H63" s="15"/>
      <c r="I63" s="16" t="s">
        <v>96</v>
      </c>
      <c r="J63" s="17"/>
      <c r="K63" s="17"/>
      <c r="L63" s="392">
        <f>IF(ISERROR(L57-G62),"",L57-G62)</f>
        <v>1435</v>
      </c>
    </row>
    <row r="64" spans="1:12" s="49" customFormat="1" ht="11.25" customHeight="1">
      <c r="A64" s="102"/>
      <c r="B64" s="8"/>
      <c r="C64" s="8"/>
      <c r="D64" s="8"/>
      <c r="E64" s="8"/>
      <c r="F64" s="8"/>
      <c r="G64" s="8"/>
      <c r="H64" s="8"/>
      <c r="I64" s="2"/>
      <c r="J64" s="2"/>
      <c r="K64" s="2"/>
      <c r="L64" s="103"/>
    </row>
    <row r="65" spans="1:12" s="49" customFormat="1" ht="13.5" customHeight="1">
      <c r="A65" s="104"/>
      <c r="B65" s="7"/>
      <c r="C65" s="7"/>
      <c r="D65" s="7"/>
      <c r="E65" s="7"/>
      <c r="F65" s="7"/>
      <c r="G65" s="7"/>
      <c r="H65" s="8"/>
      <c r="I65" s="2"/>
      <c r="J65" s="2"/>
      <c r="K65" s="2"/>
      <c r="L65" s="103"/>
    </row>
    <row r="66" spans="1:12" s="49" customFormat="1" ht="15.75">
      <c r="A66" s="105"/>
      <c r="B66" s="10"/>
      <c r="C66" s="10"/>
      <c r="D66" s="10"/>
      <c r="E66" s="10"/>
      <c r="F66" s="10"/>
      <c r="G66" s="10"/>
      <c r="H66" s="8"/>
      <c r="I66" s="2"/>
      <c r="J66" s="2"/>
      <c r="K66" s="2"/>
      <c r="L66" s="106"/>
    </row>
    <row r="67" spans="1:12" s="49" customFormat="1" ht="15.75">
      <c r="A67" s="674" t="s">
        <v>122</v>
      </c>
      <c r="B67" s="675"/>
      <c r="C67" s="675"/>
      <c r="D67" s="675"/>
      <c r="E67" s="675"/>
      <c r="F67" s="675"/>
      <c r="G67" s="675"/>
      <c r="H67" s="626" t="s">
        <v>123</v>
      </c>
      <c r="I67" s="626"/>
      <c r="J67" s="626"/>
      <c r="K67" s="626"/>
      <c r="L67" s="627"/>
    </row>
    <row r="68" spans="1:12" s="49" customFormat="1" ht="8.25" customHeight="1">
      <c r="A68" s="105"/>
      <c r="B68" s="7"/>
      <c r="C68" s="7"/>
      <c r="D68" s="7"/>
      <c r="E68" s="7"/>
      <c r="F68" s="7"/>
      <c r="G68" s="7"/>
      <c r="H68" s="8"/>
      <c r="I68" s="2"/>
      <c r="J68" s="2"/>
      <c r="K68" s="2"/>
      <c r="L68" s="103"/>
    </row>
    <row r="69" spans="1:12" s="49" customFormat="1" ht="15.75" thickBot="1">
      <c r="A69" s="623" t="str">
        <f>DATA!D148</f>
        <v>Software developed by S.Seshadri,SA(MM),ZPHS-Thugundram,GD Nellore,Chittoor(Dist) Visit: www.apteacher.net</v>
      </c>
      <c r="B69" s="624"/>
      <c r="C69" s="624"/>
      <c r="D69" s="624"/>
      <c r="E69" s="624"/>
      <c r="F69" s="624"/>
      <c r="G69" s="624"/>
      <c r="H69" s="624"/>
      <c r="I69" s="624"/>
      <c r="J69" s="624"/>
      <c r="K69" s="624"/>
      <c r="L69" s="625"/>
    </row>
    <row r="70" spans="1:12" s="49" customFormat="1" ht="16.5" thickTop="1">
      <c r="A70" s="10"/>
      <c r="B70" s="14"/>
      <c r="C70" s="14"/>
      <c r="D70" s="14"/>
      <c r="E70" s="14"/>
      <c r="F70" s="14"/>
      <c r="G70" s="14"/>
      <c r="H70" s="14"/>
      <c r="I70" s="107"/>
      <c r="J70" s="107"/>
      <c r="K70" s="107"/>
      <c r="L70" s="108"/>
    </row>
    <row r="71" s="49" customFormat="1" ht="15"/>
    <row r="72" s="49" customFormat="1" ht="15"/>
    <row r="73" s="49" customFormat="1" ht="15"/>
    <row r="74" s="49" customFormat="1" ht="15"/>
  </sheetData>
  <sheetProtection password="92B2" sheet="1" selectLockedCells="1"/>
  <mergeCells count="61">
    <mergeCell ref="A67:G67"/>
    <mergeCell ref="D60:E60"/>
    <mergeCell ref="D61:E61"/>
    <mergeCell ref="C62:F62"/>
    <mergeCell ref="B54:H54"/>
    <mergeCell ref="B57:G57"/>
    <mergeCell ref="B58:G58"/>
    <mergeCell ref="D59:E59"/>
    <mergeCell ref="C52:H52"/>
    <mergeCell ref="B48:H48"/>
    <mergeCell ref="C41:G41"/>
    <mergeCell ref="C42:G42"/>
    <mergeCell ref="C53:H53"/>
    <mergeCell ref="B63:G63"/>
    <mergeCell ref="A1:L1"/>
    <mergeCell ref="B47:H47"/>
    <mergeCell ref="B21:H21"/>
    <mergeCell ref="C22:E22"/>
    <mergeCell ref="C23:D23"/>
    <mergeCell ref="C38:G38"/>
    <mergeCell ref="C26:H26"/>
    <mergeCell ref="C39:G39"/>
    <mergeCell ref="C27:H27"/>
    <mergeCell ref="C25:H25"/>
    <mergeCell ref="B20:H20"/>
    <mergeCell ref="L35:L46"/>
    <mergeCell ref="L21:L33"/>
    <mergeCell ref="C16:G16"/>
    <mergeCell ref="B17:H17"/>
    <mergeCell ref="B13:H13"/>
    <mergeCell ref="C29:H29"/>
    <mergeCell ref="C30:H30"/>
    <mergeCell ref="C31:H31"/>
    <mergeCell ref="C43:H43"/>
    <mergeCell ref="C11:H11"/>
    <mergeCell ref="L8:L11"/>
    <mergeCell ref="A3:L3"/>
    <mergeCell ref="A4:L4"/>
    <mergeCell ref="B6:F6"/>
    <mergeCell ref="B12:H12"/>
    <mergeCell ref="G6:I6"/>
    <mergeCell ref="C14:H14"/>
    <mergeCell ref="C36:G36"/>
    <mergeCell ref="C37:G37"/>
    <mergeCell ref="C28:H28"/>
    <mergeCell ref="C40:G40"/>
    <mergeCell ref="A2:L2"/>
    <mergeCell ref="B7:H7"/>
    <mergeCell ref="B8:H8"/>
    <mergeCell ref="C9:H9"/>
    <mergeCell ref="C10:H10"/>
    <mergeCell ref="C32:G32"/>
    <mergeCell ref="A69:L69"/>
    <mergeCell ref="H67:L67"/>
    <mergeCell ref="B34:H34"/>
    <mergeCell ref="B46:H46"/>
    <mergeCell ref="B35:H35"/>
    <mergeCell ref="B55:G55"/>
    <mergeCell ref="B56:G56"/>
    <mergeCell ref="C50:H50"/>
    <mergeCell ref="C51:H51"/>
  </mergeCells>
  <printOptions/>
  <pageMargins left="0.7" right="0.7" top="0.75" bottom="0.75" header="0.3" footer="0.3"/>
  <pageSetup fitToHeight="1" fitToWidth="1" horizontalDpi="600" verticalDpi="600" orientation="portrait" paperSize="5" scale="88" r:id="rId2"/>
  <headerFooter>
    <oddHeader>&amp;Rwww.apteacher.net</oddHeader>
  </headerFooter>
  <drawing r:id="rId1"/>
</worksheet>
</file>

<file path=xl/worksheets/sheet5.xml><?xml version="1.0" encoding="utf-8"?>
<worksheet xmlns="http://schemas.openxmlformats.org/spreadsheetml/2006/main" xmlns:r="http://schemas.openxmlformats.org/officeDocument/2006/relationships">
  <sheetPr codeName="Sheet9">
    <tabColor theme="3"/>
    <pageSetUpPr fitToPage="1"/>
  </sheetPr>
  <dimension ref="A1:Z29"/>
  <sheetViews>
    <sheetView showGridLines="0" showRowColHeaders="0" workbookViewId="0" topLeftCell="A1">
      <selection activeCell="I19" sqref="I19"/>
    </sheetView>
  </sheetViews>
  <sheetFormatPr defaultColWidth="9.140625" defaultRowHeight="15"/>
  <cols>
    <col min="1" max="1" width="4.8515625" style="0" customWidth="1"/>
    <col min="2" max="2" width="11.8515625" style="0" customWidth="1"/>
    <col min="3" max="3" width="9.28125" style="0" customWidth="1"/>
    <col min="4" max="5" width="9.8515625" style="0" customWidth="1"/>
    <col min="6" max="6" width="6.8515625" style="0" customWidth="1"/>
    <col min="7" max="7" width="6.28125" style="0" customWidth="1"/>
    <col min="8" max="8" width="6.57421875" style="0" customWidth="1"/>
    <col min="9" max="10" width="6.7109375" style="0" customWidth="1"/>
    <col min="11" max="11" width="6.00390625" style="0" customWidth="1"/>
    <col min="12" max="12" width="5.8515625" style="0" customWidth="1"/>
    <col min="13" max="13" width="10.00390625" style="0" customWidth="1"/>
    <col min="14" max="14" width="7.8515625" style="0" customWidth="1"/>
    <col min="15" max="15" width="9.140625" style="0" customWidth="1"/>
    <col min="16" max="18" width="6.421875" style="0" customWidth="1"/>
    <col min="19" max="19" width="8.57421875" style="0" customWidth="1"/>
  </cols>
  <sheetData>
    <row r="1" spans="1:20" ht="15.75">
      <c r="A1" s="619" t="str">
        <f>"Salary Particulars of   "&amp;DATA!AN3&amp;", "&amp;DATA!AX3&amp;", "&amp;DATA!AM4&amp;", "&amp;DATA!AT4&amp;" Mandal"</f>
        <v>Salary Particulars of   G Kishore, SGT, MPPS Chenganapalle, Irala Mandal</v>
      </c>
      <c r="B1" s="619"/>
      <c r="C1" s="619"/>
      <c r="D1" s="619"/>
      <c r="E1" s="619"/>
      <c r="F1" s="619"/>
      <c r="G1" s="619"/>
      <c r="H1" s="619"/>
      <c r="I1" s="619"/>
      <c r="J1" s="619"/>
      <c r="K1" s="619"/>
      <c r="L1" s="619"/>
      <c r="M1" s="619"/>
      <c r="N1" s="619"/>
      <c r="O1" s="619"/>
      <c r="P1" s="619"/>
      <c r="Q1" s="619"/>
      <c r="R1" s="619"/>
      <c r="S1" s="619"/>
      <c r="T1" s="619"/>
    </row>
    <row r="2" spans="1:20" ht="9.75" customHeight="1">
      <c r="A2" s="35"/>
      <c r="B2" s="35"/>
      <c r="C2" s="36"/>
      <c r="D2" s="36"/>
      <c r="E2" s="36"/>
      <c r="F2" s="36"/>
      <c r="G2" s="36"/>
      <c r="H2" s="36"/>
      <c r="I2" s="36"/>
      <c r="J2" s="36"/>
      <c r="K2" s="36"/>
      <c r="L2" s="36"/>
      <c r="M2" s="36"/>
      <c r="N2" s="36"/>
      <c r="O2" s="36"/>
      <c r="P2" s="36"/>
      <c r="Q2" s="36"/>
      <c r="R2" s="36"/>
      <c r="S2" s="36"/>
      <c r="T2" s="36"/>
    </row>
    <row r="3" spans="1:20" ht="40.5">
      <c r="A3" s="307" t="s">
        <v>20</v>
      </c>
      <c r="B3" s="307" t="s">
        <v>11</v>
      </c>
      <c r="C3" s="307" t="s">
        <v>21</v>
      </c>
      <c r="D3" s="307" t="s">
        <v>17</v>
      </c>
      <c r="E3" s="307" t="s">
        <v>12</v>
      </c>
      <c r="F3" s="307" t="str">
        <f>IF(DATA!V6=1,"HMA","AHRA")</f>
        <v>HMA</v>
      </c>
      <c r="G3" s="307" t="s">
        <v>22</v>
      </c>
      <c r="H3" s="307" t="s">
        <v>23</v>
      </c>
      <c r="I3" s="307" t="str">
        <f>'Salary Details'!I3</f>
        <v>Tn Incre</v>
      </c>
      <c r="J3" s="307" t="str">
        <f>IF(DATA!AM53=1,"Others",IF(DATA!AM53=2,"TG Incre",""))</f>
        <v>Others</v>
      </c>
      <c r="K3" s="307" t="s">
        <v>25</v>
      </c>
      <c r="L3" s="307" t="s">
        <v>26</v>
      </c>
      <c r="M3" s="307" t="s">
        <v>27</v>
      </c>
      <c r="N3" s="307" t="str">
        <f>IF(DATA!$Q$74=3,"CPS",IF(DATA!$Q$74=2,"GPS","ZPGPF"))</f>
        <v>ZPGPF</v>
      </c>
      <c r="O3" s="307" t="s">
        <v>89</v>
      </c>
      <c r="P3" s="307" t="s">
        <v>28</v>
      </c>
      <c r="Q3" s="307" t="s">
        <v>29</v>
      </c>
      <c r="R3" s="307" t="str">
        <f>IF(DATA!AM53=1,"EHF","Others")</f>
        <v>EHF</v>
      </c>
      <c r="S3" s="307" t="s">
        <v>332</v>
      </c>
      <c r="T3" s="307" t="str">
        <f>IF(DATA!AN12=0,"Total Deductions","LIC")</f>
        <v>Total Deductions</v>
      </c>
    </row>
    <row r="4" spans="1:20" ht="15">
      <c r="A4" s="38">
        <v>1</v>
      </c>
      <c r="B4" s="39">
        <f>'Salary Details'!B4</f>
        <v>42430</v>
      </c>
      <c r="C4" s="38">
        <f>DATA!P37</f>
        <v>32340</v>
      </c>
      <c r="D4" s="38">
        <f>IF(C4="","",ROUND(C4*DATA!R37/100,0.1))</f>
        <v>3898</v>
      </c>
      <c r="E4" s="38">
        <f>ROUND(C4*DATA!F71%,0)</f>
        <v>3881</v>
      </c>
      <c r="F4" s="38">
        <f>IF(DATA!$V$6=1,DATA!$AU$6,IF(C4&gt;12190,1000,ROUND(C4*8%,0)))</f>
        <v>0</v>
      </c>
      <c r="G4" s="38">
        <f>DATA!$AO$6</f>
        <v>0</v>
      </c>
      <c r="H4" s="38">
        <f>DATA!$AQ$6</f>
        <v>0</v>
      </c>
      <c r="I4" s="38">
        <f>'Salary Details'!I4</f>
        <v>270</v>
      </c>
      <c r="J4" s="38">
        <f>IF(DATA!$AM$53=2,"",DATA!$AS$6)</f>
        <v>0</v>
      </c>
      <c r="K4" s="38">
        <f>DATA!$AY$6</f>
        <v>0</v>
      </c>
      <c r="L4" s="40">
        <f>IF(AND(DATA!$O$74=1,ROUND('Salary Details(A4)'!C4*10%,0)&lt;900),ROUND('Salary Details(A4)'!C4*10%,0),IF(AND(DATA!$O$74=1,ROUND('Salary Details(A4)'!C4*10%,0)&gt;=900),900,0))</f>
        <v>0</v>
      </c>
      <c r="M4" s="38">
        <f>SUM(C4:L4)</f>
        <v>40389</v>
      </c>
      <c r="N4" s="38">
        <f>IF(DATA!$Q$74=3,ROUND(('Salary Details(A4)'!C4+'Salary Details(A4)'!D4)*10%,0),DATA!S37)</f>
        <v>12000</v>
      </c>
      <c r="O4" s="38">
        <f>DATA!T37</f>
        <v>450</v>
      </c>
      <c r="P4" s="38">
        <f>DATA!U37</f>
        <v>60</v>
      </c>
      <c r="Q4" s="41">
        <f>IF(DATA!$O$74=1,0,IF(AND(M4&gt;5000,M4&lt;=6000),60,IF(AND(M4&gt;6000,M4&lt;=10000),80,IF(AND(M4&gt;10000,M4&lt;=15000),100,IF(AND(M4&gt;15000,M4&lt;=20000),150,IF(AND(M4&gt;20000),200))))))</f>
        <v>200</v>
      </c>
      <c r="R4" s="41">
        <f>DATA!T$60</f>
        <v>90</v>
      </c>
      <c r="S4" s="38">
        <f>DATA!AQ12</f>
        <v>20</v>
      </c>
      <c r="T4" s="38">
        <f>IF(DATA!$AN$12=0,SUM(N4:S4),DATA!$AN$12)</f>
        <v>12820</v>
      </c>
    </row>
    <row r="5" spans="1:20" ht="15">
      <c r="A5" s="38">
        <v>2</v>
      </c>
      <c r="B5" s="39">
        <f>'Salary Details'!B5</f>
        <v>42461</v>
      </c>
      <c r="C5" s="38">
        <f>DATA!P38</f>
        <v>32340</v>
      </c>
      <c r="D5" s="38">
        <f>IF(C5="","",ROUND(C5*DATA!R38/100,0.1))</f>
        <v>3898</v>
      </c>
      <c r="E5" s="38">
        <f>ROUND(C5*DATA!Q38%,0)</f>
        <v>3881</v>
      </c>
      <c r="F5" s="38">
        <f>IF(DATA!$V$6=1,DATA!$AU$6,IF(C5&gt;12190,1000,ROUND(C5*8%,0)))</f>
        <v>0</v>
      </c>
      <c r="G5" s="38">
        <f>DATA!$AO$6</f>
        <v>0</v>
      </c>
      <c r="H5" s="38">
        <f>DATA!$AQ$6</f>
        <v>0</v>
      </c>
      <c r="I5" s="38">
        <f>'Salary Details'!I5</f>
        <v>270</v>
      </c>
      <c r="J5" s="38">
        <f>IF(DATA!$AM$53=2,"",DATA!$AS$6)</f>
        <v>0</v>
      </c>
      <c r="K5" s="38">
        <f>DATA!$AY$6</f>
        <v>0</v>
      </c>
      <c r="L5" s="40">
        <f>IF(DATA!$O$74=2,0,IF(DATA!I52=2,L4,690))</f>
        <v>0</v>
      </c>
      <c r="M5" s="38">
        <f>SUM(C5:L5)</f>
        <v>40389</v>
      </c>
      <c r="N5" s="38">
        <f>IF(DATA!$Q$74=3,ROUND(('Salary Details(A4)'!C5+'Salary Details(A4)'!D5)*10%,0),DATA!S38)</f>
        <v>12000</v>
      </c>
      <c r="O5" s="38">
        <f>DATA!T38</f>
        <v>450</v>
      </c>
      <c r="P5" s="38">
        <f>DATA!U38</f>
        <v>60</v>
      </c>
      <c r="Q5" s="41">
        <f>IF(DATA!$O$74=1,0,IF(AND(M5&gt;5000,M5&lt;=6000),60,IF(AND(M5&gt;6000,M5&lt;=10000),80,IF(AND(M5&gt;10000,M5&lt;=15000),100,IF(AND(M5&gt;15000,M5&lt;=20000),150,IF(AND(M5&gt;20000),200))))))</f>
        <v>200</v>
      </c>
      <c r="R5" s="41">
        <f>DATA!T$60</f>
        <v>90</v>
      </c>
      <c r="S5" s="38">
        <v>0</v>
      </c>
      <c r="T5" s="38">
        <f>IF(DATA!$AN$12=0,SUM(N5:S5),DATA!$AN$12)</f>
        <v>12800</v>
      </c>
    </row>
    <row r="6" spans="1:20" ht="15">
      <c r="A6" s="38">
        <v>3</v>
      </c>
      <c r="B6" s="39">
        <f>'Salary Details'!B6</f>
        <v>42491</v>
      </c>
      <c r="C6" s="38">
        <f>DATA!P39</f>
        <v>32340</v>
      </c>
      <c r="D6" s="38">
        <f>IF(C6="","",ROUND(C6*DATA!R39/100,0.1))</f>
        <v>3898</v>
      </c>
      <c r="E6" s="38">
        <f>ROUND(C6*DATA!Q39%,0)</f>
        <v>3881</v>
      </c>
      <c r="F6" s="38">
        <f>IF(DATA!$V$6=1,DATA!$AU$6,IF(C6&gt;12190,1000,ROUND(C6*8%,0)))</f>
        <v>0</v>
      </c>
      <c r="G6" s="38">
        <f>DATA!$AO$6</f>
        <v>0</v>
      </c>
      <c r="H6" s="38">
        <f>DATA!$AQ$6</f>
        <v>0</v>
      </c>
      <c r="I6" s="38">
        <f>'Salary Details'!I6</f>
        <v>270</v>
      </c>
      <c r="J6" s="38">
        <f>IF(DATA!$AM$53=2,"",DATA!$AS$6)</f>
        <v>0</v>
      </c>
      <c r="K6" s="38">
        <f>DATA!$AY$6</f>
        <v>0</v>
      </c>
      <c r="L6" s="40">
        <f>IF(DATA!I52=2,L4,0)</f>
        <v>0</v>
      </c>
      <c r="M6" s="38">
        <f>SUM(C6:L6)</f>
        <v>40389</v>
      </c>
      <c r="N6" s="38">
        <f>IF(DATA!$Q$74=3,ROUND(('Salary Details(A4)'!C6+'Salary Details(A4)'!D6)*10%,0),DATA!S39)</f>
        <v>12000</v>
      </c>
      <c r="O6" s="38">
        <f>DATA!T39</f>
        <v>450</v>
      </c>
      <c r="P6" s="38">
        <f>DATA!U39</f>
        <v>60</v>
      </c>
      <c r="Q6" s="41">
        <f>IF(DATA!$O$74=1,0,IF(AND(M6&gt;5000,M6&lt;=6000),60,IF(AND(M6&gt;6000,M6&lt;=10000),80,IF(AND(M6&gt;10000,M6&lt;=15000),100,IF(AND(M6&gt;15000,M6&lt;=20000),150,IF(AND(M6&gt;20000),200))))))</f>
        <v>200</v>
      </c>
      <c r="R6" s="41">
        <f>DATA!T$60</f>
        <v>90</v>
      </c>
      <c r="S6" s="38">
        <v>0</v>
      </c>
      <c r="T6" s="38">
        <f>IF(DATA!$AN$12=0,SUM(N6:S6),DATA!$AN$12)</f>
        <v>12800</v>
      </c>
    </row>
    <row r="7" spans="1:20" ht="15">
      <c r="A7" s="38">
        <v>4</v>
      </c>
      <c r="B7" s="39">
        <f>'Salary Details'!B7</f>
        <v>42522</v>
      </c>
      <c r="C7" s="38">
        <f>DATA!P40</f>
        <v>32340</v>
      </c>
      <c r="D7" s="38">
        <f>IF(C7="","",ROUND(C7*DATA!R40/100,0.1))</f>
        <v>3898</v>
      </c>
      <c r="E7" s="38">
        <f>ROUND(C7*DATA!Q40%,0)</f>
        <v>3881</v>
      </c>
      <c r="F7" s="38">
        <f>IF(DATA!$V$6=1,DATA!$AU$6,IF(C7&gt;12190,1000,ROUND(C7*8%,0)))</f>
        <v>0</v>
      </c>
      <c r="G7" s="38">
        <f>DATA!$AO$6</f>
        <v>0</v>
      </c>
      <c r="H7" s="38">
        <f>DATA!$AQ$6</f>
        <v>0</v>
      </c>
      <c r="I7" s="38">
        <f>'Salary Details'!I7</f>
        <v>270</v>
      </c>
      <c r="J7" s="38">
        <f>IF(DATA!$AM$53=2,"",DATA!$AS$6)</f>
        <v>0</v>
      </c>
      <c r="K7" s="38">
        <f>DATA!$AY$6</f>
        <v>0</v>
      </c>
      <c r="L7" s="40">
        <f>IF(DATA!$O$74=2,0,IF(DATA!I52=2,L4,570))</f>
        <v>0</v>
      </c>
      <c r="M7" s="38">
        <f>SUM(C7:L7)</f>
        <v>40389</v>
      </c>
      <c r="N7" s="38">
        <f>IF(DATA!$Q$74=3,ROUND(('Salary Details(A4)'!C7+'Salary Details(A4)'!D7)*10%,0),DATA!S40)</f>
        <v>12000</v>
      </c>
      <c r="O7" s="38">
        <f>DATA!T40</f>
        <v>450</v>
      </c>
      <c r="P7" s="38">
        <f>DATA!U40</f>
        <v>60</v>
      </c>
      <c r="Q7" s="41">
        <f>IF(DATA!$O$74=1,0,IF(AND(M7&gt;5000,M7&lt;=6000),60,IF(AND(M7&gt;6000,M7&lt;=10000),80,IF(AND(M7&gt;10000,M7&lt;=15000),100,IF(AND(M7&gt;15000,M7&lt;=20000),150,IF(AND(M7&gt;20000),200))))))</f>
        <v>200</v>
      </c>
      <c r="R7" s="41">
        <f>DATA!T$60</f>
        <v>90</v>
      </c>
      <c r="S7" s="38">
        <f>IF(DATA!AM53&lt;&gt;1,ROUND((C7/30)*1.5,0),0)</f>
        <v>0</v>
      </c>
      <c r="T7" s="38">
        <f>IF(DATA!$AN$12=0,SUM(N7:S7),DATA!$AN$12)</f>
        <v>12800</v>
      </c>
    </row>
    <row r="8" spans="1:20" ht="15">
      <c r="A8" s="38">
        <v>5</v>
      </c>
      <c r="B8" s="39">
        <f>'Salary Details'!B8</f>
        <v>42552</v>
      </c>
      <c r="C8" s="38">
        <f>DATA!P41</f>
        <v>32340</v>
      </c>
      <c r="D8" s="38">
        <f>IF(C8="","",ROUND(C8*DATA!R41/100,0.1))</f>
        <v>3898</v>
      </c>
      <c r="E8" s="38">
        <f>ROUND(C8*DATA!Q41%,0)</f>
        <v>3881</v>
      </c>
      <c r="F8" s="38">
        <f>IF(DATA!$V$6=1,DATA!$AU$6,IF(C8&gt;12190,1000,ROUND(C8*8%,0)))</f>
        <v>0</v>
      </c>
      <c r="G8" s="38">
        <f>DATA!$AO$6</f>
        <v>0</v>
      </c>
      <c r="H8" s="38">
        <f>DATA!$AQ$6</f>
        <v>0</v>
      </c>
      <c r="I8" s="38">
        <f>'Salary Details'!I8</f>
        <v>270</v>
      </c>
      <c r="J8" s="38">
        <f>IF(DATA!$AM$53=2,"",DATA!$AS$6)</f>
        <v>0</v>
      </c>
      <c r="K8" s="38">
        <f>DATA!$AY$6</f>
        <v>0</v>
      </c>
      <c r="L8" s="40">
        <f>IF(AND(DATA!$O$74=1,ROUND('Salary Details(A4)'!C8*10%,0)&lt;900),ROUND('Salary Details(A4)'!C8*10%,0),IF(AND(DATA!$O$74=1,ROUND('Salary Details(A4)'!C8*10%,0)&gt;=900),900,0))</f>
        <v>0</v>
      </c>
      <c r="M8" s="38">
        <f>SUM(C8:L8)</f>
        <v>40389</v>
      </c>
      <c r="N8" s="38">
        <f>IF(DATA!$Q$74=3,ROUND(('Salary Details(A4)'!C8+'Salary Details(A4)'!D8)*10%,0),DATA!S41)</f>
        <v>12000</v>
      </c>
      <c r="O8" s="38">
        <f>DATA!T41</f>
        <v>450</v>
      </c>
      <c r="P8" s="38">
        <f>DATA!U41</f>
        <v>60</v>
      </c>
      <c r="Q8" s="41">
        <f>IF(DATA!$O$74=1,0,IF(AND(M8&gt;5000,M8&lt;=6000),60,IF(AND(M8&gt;6000,M8&lt;=10000),80,IF(AND(M8&gt;10000,M8&lt;=15000),100,IF(AND(M8&gt;15000,M8&lt;=20000),150,IF(AND(M8&gt;20000),200))))))</f>
        <v>200</v>
      </c>
      <c r="R8" s="41">
        <f>DATA!T$60</f>
        <v>90</v>
      </c>
      <c r="S8" s="38">
        <v>0</v>
      </c>
      <c r="T8" s="38">
        <f>IF(DATA!$AN$12=0,SUM(N8:S8),DATA!$AN$12)</f>
        <v>12800</v>
      </c>
    </row>
    <row r="9" spans="1:20" ht="15">
      <c r="A9" s="38">
        <v>6</v>
      </c>
      <c r="B9" s="39">
        <f>'Salary Details'!B9</f>
        <v>42583</v>
      </c>
      <c r="C9" s="38">
        <f>DATA!P42</f>
        <v>32340</v>
      </c>
      <c r="D9" s="38">
        <f>IF(C9="","",ROUND(C9*DATA!R42/100,0.1))</f>
        <v>4914</v>
      </c>
      <c r="E9" s="38">
        <f>ROUND(C9*DATA!Q42%,0)</f>
        <v>3881</v>
      </c>
      <c r="F9" s="38">
        <f>IF(DATA!$V$6=1,DATA!$AU$6,IF(C9&gt;12190,1000,ROUND(C9*8%,0)))</f>
        <v>0</v>
      </c>
      <c r="G9" s="38">
        <f>DATA!$AO$6</f>
        <v>0</v>
      </c>
      <c r="H9" s="38">
        <f>DATA!$AQ$6</f>
        <v>0</v>
      </c>
      <c r="I9" s="38">
        <f>'Salary Details'!I9</f>
        <v>270</v>
      </c>
      <c r="J9" s="38">
        <f>IF(DATA!$AM$53=2,DATA!$AP$5,DATA!$AS$6)</f>
        <v>0</v>
      </c>
      <c r="K9" s="38">
        <f>DATA!$AY$6</f>
        <v>0</v>
      </c>
      <c r="L9" s="40">
        <f>IF(AND(DATA!$O$74=1,ROUND('Salary Details(A4)'!C9*10%,0)&lt;900),ROUND('Salary Details(A4)'!C9*10%,0),IF(AND(DATA!$O$74=1,ROUND('Salary Details(A4)'!C9*10%,0)&gt;=900),900,0))</f>
        <v>0</v>
      </c>
      <c r="M9" s="38">
        <f>IF(B29&lt;&gt;"",SUM(C9:L9),"123456")</f>
        <v>41405</v>
      </c>
      <c r="N9" s="38">
        <f>IF(DATA!$Q$74=3,ROUND(('Salary Details(A4)'!C9+'Salary Details(A4)'!D9)*10%,0),DATA!S42)</f>
        <v>12000</v>
      </c>
      <c r="O9" s="38">
        <f>DATA!T42</f>
        <v>450</v>
      </c>
      <c r="P9" s="38">
        <f>DATA!U42</f>
        <v>60</v>
      </c>
      <c r="Q9" s="41">
        <f>IF(DATA!$O$74=1,0,IF(AND(M9&gt;5000,M9&lt;=6000),60,IF(AND(M9&gt;6000,M9&lt;=10000),80,IF(AND(M9&gt;10000,M9&lt;=15000),100,IF(AND(M9&gt;15000,M9&lt;=20000),150,IF(AND(M9&gt;20000),200))))))</f>
        <v>200</v>
      </c>
      <c r="R9" s="41">
        <f>DATA!T$60</f>
        <v>90</v>
      </c>
      <c r="S9" s="38">
        <v>0</v>
      </c>
      <c r="T9" s="38">
        <f>IF(DATA!$AN$12=0,SUM(N9:S9),DATA!$AN$12)</f>
        <v>12800</v>
      </c>
    </row>
    <row r="10" spans="1:20" ht="15">
      <c r="A10" s="38">
        <v>7</v>
      </c>
      <c r="B10" s="39">
        <f>'Salary Details'!B10</f>
        <v>42614</v>
      </c>
      <c r="C10" s="38">
        <f>DATA!P43</f>
        <v>32340</v>
      </c>
      <c r="D10" s="38">
        <f>IF(C10="","",ROUND(C10*DATA!R43/100,0.1))</f>
        <v>4914</v>
      </c>
      <c r="E10" s="38">
        <f>ROUND(C10*DATA!Q43%,0)</f>
        <v>3881</v>
      </c>
      <c r="F10" s="38">
        <f>IF(DATA!$V$6=1,DATA!$AU$6,IF(C10&gt;12190,1000,ROUND(C10*8%,0)))</f>
        <v>0</v>
      </c>
      <c r="G10" s="38">
        <f>DATA!$AO$6</f>
        <v>0</v>
      </c>
      <c r="H10" s="38">
        <f>DATA!$AQ$6</f>
        <v>0</v>
      </c>
      <c r="I10" s="38">
        <f>'Salary Details'!I10</f>
        <v>270</v>
      </c>
      <c r="J10" s="38">
        <f>IF(DATA!$AM$53=2,DATA!$AP$5,DATA!$AS$6)</f>
        <v>0</v>
      </c>
      <c r="K10" s="38">
        <f>DATA!$AY$6</f>
        <v>0</v>
      </c>
      <c r="L10" s="40">
        <f>IF(AND(DATA!$O$74=1,ROUND('Salary Details(A4)'!C10*10%,0)&lt;900),ROUND('Salary Details(A4)'!C10*10%,0),IF(AND(DATA!$O$74=1,ROUND('Salary Details(A4)'!C10*10%,0)&gt;=900),900,0))</f>
        <v>0</v>
      </c>
      <c r="M10" s="38">
        <f aca="true" t="shared" si="0" ref="M10:M17">SUM(C10:L10)</f>
        <v>41405</v>
      </c>
      <c r="N10" s="38">
        <f>IF(DATA!$Q$74=3,ROUND(('Salary Details(A4)'!C10+'Salary Details(A4)'!D10)*10%,0),DATA!S43)</f>
        <v>12000</v>
      </c>
      <c r="O10" s="38">
        <f>DATA!T43</f>
        <v>450</v>
      </c>
      <c r="P10" s="38">
        <f>DATA!U43</f>
        <v>60</v>
      </c>
      <c r="Q10" s="41">
        <f>IF(DATA!$O$74=1,0,IF(AND(M10&gt;5000,M10&lt;=6000),60,IF(AND(M10&gt;6000,M10&lt;=10000),80,IF(AND(M10&gt;10000,M10&lt;=15000),100,IF(AND(M10&gt;15000,M10&lt;=20000),150,IF(AND(M10&gt;20000),200))))))</f>
        <v>200</v>
      </c>
      <c r="R10" s="41">
        <f>DATA!T$60</f>
        <v>90</v>
      </c>
      <c r="S10" s="38">
        <v>0</v>
      </c>
      <c r="T10" s="38">
        <f>IF(DATA!$AN$12=0,SUM(N10:S10),DATA!$AN$12)</f>
        <v>12800</v>
      </c>
    </row>
    <row r="11" spans="1:20" ht="15">
      <c r="A11" s="38">
        <v>8</v>
      </c>
      <c r="B11" s="39">
        <f>'Salary Details'!B11</f>
        <v>42644</v>
      </c>
      <c r="C11" s="38">
        <f>DATA!P44</f>
        <v>33220</v>
      </c>
      <c r="D11" s="38">
        <f>IF(C11="","",ROUND(C11*DATA!R44/100,0.1))</f>
        <v>5048</v>
      </c>
      <c r="E11" s="38">
        <f>ROUND(C11*DATA!Q44%,0)</f>
        <v>3986</v>
      </c>
      <c r="F11" s="38">
        <f>IF(DATA!$V$6=1,DATA!$AU$6,IF(C11&gt;12190,1000,ROUND(C11*8%,0)))</f>
        <v>0</v>
      </c>
      <c r="G11" s="38">
        <f>DATA!$AO$6</f>
        <v>0</v>
      </c>
      <c r="H11" s="38">
        <f>DATA!$AQ$6</f>
        <v>0</v>
      </c>
      <c r="I11" s="38">
        <f>'Salary Details'!I11</f>
        <v>270</v>
      </c>
      <c r="J11" s="38">
        <f>IF(DATA!$AM$53=2,DATA!$AP$5,DATA!$AS$6)</f>
        <v>0</v>
      </c>
      <c r="K11" s="38">
        <f>DATA!$AY$6</f>
        <v>0</v>
      </c>
      <c r="L11" s="40">
        <f>IF(AND(DATA!$O$74=1,ROUND('Salary Details(A4)'!C11*10%,0)&lt;900),ROUND('Salary Details(A4)'!C11*10%,0),IF(AND(DATA!$O$74=1,ROUND('Salary Details(A4)'!C11*10%,0)&gt;=900),900,0))</f>
        <v>0</v>
      </c>
      <c r="M11" s="38">
        <f t="shared" si="0"/>
        <v>42524</v>
      </c>
      <c r="N11" s="38">
        <f>IF(DATA!$Q$74=3,ROUND(('Salary Details(A4)'!C11+'Salary Details(A4)'!D11)*10%,0),DATA!S44)</f>
        <v>12000</v>
      </c>
      <c r="O11" s="38">
        <f>DATA!T44</f>
        <v>450</v>
      </c>
      <c r="P11" s="38">
        <f>DATA!U44</f>
        <v>60</v>
      </c>
      <c r="Q11" s="41">
        <f>IF(DATA!$O$74=1,0,IF(AND(M11&gt;5000,M11&lt;=6000),60,IF(AND(M11&gt;6000,M11&lt;=10000),80,IF(AND(M11&gt;10000,M11&lt;=15000),100,IF(AND(M11&gt;15000,M11&lt;=20000),150,IF(AND(M11&gt;20000),200))))))</f>
        <v>200</v>
      </c>
      <c r="R11" s="41">
        <f>DATA!T$60</f>
        <v>90</v>
      </c>
      <c r="S11" s="38">
        <v>0</v>
      </c>
      <c r="T11" s="38">
        <f>IF(DATA!$AN$12=0,SUM(N11:S11),DATA!$AN$12)</f>
        <v>12800</v>
      </c>
    </row>
    <row r="12" spans="1:20" ht="15">
      <c r="A12" s="38">
        <v>9</v>
      </c>
      <c r="B12" s="39">
        <f>'Salary Details'!B12</f>
        <v>42675</v>
      </c>
      <c r="C12" s="38">
        <f>DATA!P45</f>
        <v>33220</v>
      </c>
      <c r="D12" s="38">
        <f>IF(C12="","",ROUND(C12*DATA!R45/100,0.1))</f>
        <v>5048</v>
      </c>
      <c r="E12" s="38">
        <f>ROUND(C12*DATA!Q45%,0)</f>
        <v>3986</v>
      </c>
      <c r="F12" s="38">
        <f>IF(DATA!$V$6=1,DATA!$AU$6,IF(C12&gt;12190,1000,ROUND(C12*8%,0)))</f>
        <v>0</v>
      </c>
      <c r="G12" s="38">
        <f>DATA!$AO$6</f>
        <v>0</v>
      </c>
      <c r="H12" s="38">
        <f>DATA!$AQ$6</f>
        <v>0</v>
      </c>
      <c r="I12" s="38">
        <f>'Salary Details'!I12</f>
        <v>270</v>
      </c>
      <c r="J12" s="38">
        <f>IF(DATA!$AM$53=2,DATA!$AP$5,DATA!$AS$6)</f>
        <v>0</v>
      </c>
      <c r="K12" s="38">
        <f>DATA!$AY$6</f>
        <v>0</v>
      </c>
      <c r="L12" s="40">
        <f>IF(AND(DATA!$O$74=1,ROUND('Salary Details(A4)'!C12*10%,0)&lt;900),ROUND('Salary Details(A4)'!C12*10%,0),IF(AND(DATA!$O$74=1,ROUND('Salary Details(A4)'!C12*10%,0)&gt;=900),900,0))</f>
        <v>0</v>
      </c>
      <c r="M12" s="38">
        <f t="shared" si="0"/>
        <v>42524</v>
      </c>
      <c r="N12" s="38">
        <f>IF(DATA!$Q$74=3,ROUND(('Salary Details(A4)'!C12+'Salary Details(A4)'!D12)*10%,0),DATA!S45)</f>
        <v>12000</v>
      </c>
      <c r="O12" s="38">
        <f>DATA!T45</f>
        <v>450</v>
      </c>
      <c r="P12" s="38">
        <f>DATA!U45</f>
        <v>60</v>
      </c>
      <c r="Q12" s="41">
        <f>IF(DATA!$O$74=1,0,IF(AND(M12&gt;5000,M12&lt;=6000),60,IF(AND(M12&gt;6000,M12&lt;=10000),80,IF(AND(M12&gt;10000,M12&lt;=15000),100,IF(AND(M12&gt;15000,M12&lt;=20000),150,IF(AND(M12&gt;20000),200))))))</f>
        <v>200</v>
      </c>
      <c r="R12" s="41">
        <f>DATA!T$60</f>
        <v>90</v>
      </c>
      <c r="S12" s="38">
        <v>0</v>
      </c>
      <c r="T12" s="38">
        <f>IF(DATA!$AN$12=0,SUM(N12:S12),DATA!$AN$12)</f>
        <v>12800</v>
      </c>
    </row>
    <row r="13" spans="1:26" ht="15">
      <c r="A13" s="38">
        <v>10</v>
      </c>
      <c r="B13" s="39">
        <f>'Salary Details'!B13</f>
        <v>42705</v>
      </c>
      <c r="C13" s="38">
        <f>DATA!P46</f>
        <v>33220</v>
      </c>
      <c r="D13" s="38">
        <f>IF(C13="","",ROUND(C13*DATA!R46/100,0.1))</f>
        <v>5048</v>
      </c>
      <c r="E13" s="38">
        <f>ROUND(C13*DATA!Q46%,0)</f>
        <v>3986</v>
      </c>
      <c r="F13" s="38">
        <f>IF(DATA!$V$6=1,DATA!$AU$6,IF(C13&gt;12190,1000,ROUND(C13*8%,0)))</f>
        <v>0</v>
      </c>
      <c r="G13" s="38">
        <f>DATA!$AO$6</f>
        <v>0</v>
      </c>
      <c r="H13" s="38">
        <f>DATA!$AQ$6</f>
        <v>0</v>
      </c>
      <c r="I13" s="38">
        <f>'Salary Details'!I13</f>
        <v>270</v>
      </c>
      <c r="J13" s="38">
        <f>IF(DATA!$AM$53=2,DATA!$AP$5,DATA!$AS$6)</f>
        <v>0</v>
      </c>
      <c r="K13" s="38">
        <f>DATA!$AY$6</f>
        <v>0</v>
      </c>
      <c r="L13" s="40">
        <f>IF(AND(DATA!$O$74=1,ROUND('Salary Details'!C13*10%,0)&lt;1350),ROUND('Salary Details'!C13*10%,0),IF(AND(DATA!$O$74=1,ROUND('Salary Details'!C13*10%,0)&gt;=1350),1350,0))</f>
        <v>0</v>
      </c>
      <c r="M13" s="38">
        <f t="shared" si="0"/>
        <v>42524</v>
      </c>
      <c r="N13" s="38">
        <f>IF(DATA!$Q$74=3,ROUND(('Salary Details(A4)'!C13+'Salary Details(A4)'!D13)*10%,0),DATA!S46)</f>
        <v>12000</v>
      </c>
      <c r="O13" s="38">
        <f>DATA!T46</f>
        <v>450</v>
      </c>
      <c r="P13" s="38">
        <f>DATA!U46</f>
        <v>60</v>
      </c>
      <c r="Q13" s="41">
        <f>IF(DATA!$O$74=1,0,IF(AND(M13&gt;5000,M13&lt;=6000),60,IF(AND(M13&gt;6000,M13&lt;=10000),80,IF(AND(M13&gt;10000,M13&lt;=15000),100,IF(AND(M13&gt;15000,M13&lt;=20000),150,IF(AND(M13&gt;20000),200))))))</f>
        <v>200</v>
      </c>
      <c r="R13" s="41">
        <f>DATA!T$60</f>
        <v>90</v>
      </c>
      <c r="S13" s="38">
        <f>DATA!AS12</f>
        <v>50</v>
      </c>
      <c r="T13" s="38">
        <f>IF(DATA!$AN$12=0,SUM(N13:S13),DATA!$AN$12)</f>
        <v>12850</v>
      </c>
      <c r="Z13">
        <f>IF(AND(DATA!$O$74=1,ROUND('Salary Details(A4)'!C4*10%,0)&lt;900),ROUND('Salary Details(A4)'!C4*10%,0),IF(AND(DATA!$O$74=1,ROUND('Salary Details(A4)'!C4*10%,0)&gt;=900),900,0))</f>
        <v>0</v>
      </c>
    </row>
    <row r="14" spans="1:20" ht="15">
      <c r="A14" s="38">
        <v>11</v>
      </c>
      <c r="B14" s="39">
        <f>'Salary Details'!B14</f>
        <v>42736</v>
      </c>
      <c r="C14" s="38">
        <f>DATA!P47</f>
        <v>33220</v>
      </c>
      <c r="D14" s="38">
        <f>IF(C14="","",ROUND(C14*DATA!R47/100,0.1))</f>
        <v>5048</v>
      </c>
      <c r="E14" s="38">
        <f>ROUND(C14*DATA!Q47%,0)</f>
        <v>3986</v>
      </c>
      <c r="F14" s="38">
        <f>IF(DATA!$V$6=1,DATA!$AU$6,IF(C14&gt;12190,1000,ROUND(C14*8%,0)))</f>
        <v>0</v>
      </c>
      <c r="G14" s="38">
        <f>DATA!$AO$6</f>
        <v>0</v>
      </c>
      <c r="H14" s="38">
        <f>DATA!$AQ$6</f>
        <v>0</v>
      </c>
      <c r="I14" s="38">
        <f>'Salary Details'!I14</f>
        <v>270</v>
      </c>
      <c r="J14" s="38">
        <f>IF(DATA!$AM$53=2,DATA!$AP$5,DATA!$AS$6)</f>
        <v>0</v>
      </c>
      <c r="K14" s="38">
        <f>DATA!$AY$6</f>
        <v>0</v>
      </c>
      <c r="L14" s="40">
        <f>IF(AND(DATA!$O$74=1,ROUND('Salary Details'!C14*10%,0)&lt;1350),ROUND('Salary Details'!C14*10%,0),IF(AND(DATA!$O$74=1,ROUND('Salary Details'!C14*10%,0)&gt;=1350),1350,0))</f>
        <v>0</v>
      </c>
      <c r="M14" s="38">
        <f t="shared" si="0"/>
        <v>42524</v>
      </c>
      <c r="N14" s="38">
        <f>IF(DATA!$Q$74=3,ROUND(('Salary Details(A4)'!C14+'Salary Details(A4)'!D14)*10%,0),DATA!S47)</f>
        <v>12000</v>
      </c>
      <c r="O14" s="38">
        <f>DATA!T47</f>
        <v>450</v>
      </c>
      <c r="P14" s="38">
        <f>DATA!U47</f>
        <v>60</v>
      </c>
      <c r="Q14" s="41">
        <f>IF(DATA!$O$74=1,0,IF(AND(M14&gt;5000,M14&lt;=6000),60,IF(AND(M14&gt;6000,M14&lt;=10000),80,IF(AND(M14&gt;10000,M14&lt;=15000),100,IF(AND(M14&gt;15000,M14&lt;=20000),150,IF(AND(M14&gt;20000),200))))))</f>
        <v>200</v>
      </c>
      <c r="R14" s="41">
        <f>DATA!T$60</f>
        <v>90</v>
      </c>
      <c r="S14" s="38">
        <v>0</v>
      </c>
      <c r="T14" s="38">
        <f>IF(DATA!$AN$12=0,SUM(N14:S14),DATA!$AN$12)</f>
        <v>12800</v>
      </c>
    </row>
    <row r="15" spans="1:20" ht="15">
      <c r="A15" s="38">
        <v>12</v>
      </c>
      <c r="B15" s="39">
        <f>'Salary Details'!B15</f>
        <v>42767</v>
      </c>
      <c r="C15" s="38">
        <f>DATA!P48</f>
        <v>33220</v>
      </c>
      <c r="D15" s="38">
        <f>IF(C15="","",ROUND(C15*DATA!R48/100,0.1))</f>
        <v>5048</v>
      </c>
      <c r="E15" s="38">
        <f>ROUND(C15*DATA!Q48%,0)</f>
        <v>3986</v>
      </c>
      <c r="F15" s="38">
        <f>IF(DATA!$V$6=1,DATA!$AU$6,IF(C15&gt;12190,1000,ROUND(C15*8%,0)))</f>
        <v>0</v>
      </c>
      <c r="G15" s="38">
        <f>DATA!$AO$6</f>
        <v>0</v>
      </c>
      <c r="H15" s="38">
        <f>DATA!$AQ$6</f>
        <v>0</v>
      </c>
      <c r="I15" s="38">
        <f>'Salary Details'!I15</f>
        <v>270</v>
      </c>
      <c r="J15" s="38">
        <f>IF(DATA!$AM$53=2,DATA!$AP$5,DATA!$AS$6)</f>
        <v>0</v>
      </c>
      <c r="K15" s="38">
        <f>DATA!$AY$6</f>
        <v>0</v>
      </c>
      <c r="L15" s="40">
        <f>IF(AND(DATA!$O$74=1,ROUND('Salary Details'!C15*10%,0)&lt;1350),ROUND('Salary Details'!C15*10%,0),IF(AND(DATA!$O$74=1,ROUND('Salary Details'!C15*10%,0)&gt;=1350),1350,0))</f>
        <v>0</v>
      </c>
      <c r="M15" s="38">
        <f t="shared" si="0"/>
        <v>42524</v>
      </c>
      <c r="N15" s="38">
        <f>IF(DATA!$Q$74=3,ROUND(('Salary Details(A4)'!C15+'Salary Details(A4)'!D15)*10%,0),DATA!S48)</f>
        <v>12000</v>
      </c>
      <c r="O15" s="38">
        <f>DATA!T48</f>
        <v>450</v>
      </c>
      <c r="P15" s="38">
        <f>DATA!U48</f>
        <v>60</v>
      </c>
      <c r="Q15" s="41">
        <f>IF(DATA!$O$74=1,0,IF(AND(M15&gt;5000,M15&lt;=6000),60,IF(AND(M15&gt;6000,M15&lt;=10000),80,IF(AND(M15&gt;10000,M15&lt;=15000),100,IF(AND(M15&gt;15000,M15&lt;=20000),150,IF(AND(M15&gt;20000),200))))))</f>
        <v>200</v>
      </c>
      <c r="R15" s="41">
        <f>DATA!T$60</f>
        <v>90</v>
      </c>
      <c r="S15" s="38">
        <v>0</v>
      </c>
      <c r="T15" s="38">
        <f>IF(DATA!$AN$12=0,SUM(N15:S15),DATA!$AN$12)</f>
        <v>12800</v>
      </c>
    </row>
    <row r="16" spans="1:20" ht="27">
      <c r="A16" s="38">
        <v>13</v>
      </c>
      <c r="B16" s="310" t="str">
        <f>CONCATENATE("Surrender leave  ",DATA!C109)</f>
        <v>Surrender leave  Not Availed</v>
      </c>
      <c r="C16" s="38">
        <f>DATA!E109</f>
        <v>0</v>
      </c>
      <c r="D16" s="38">
        <f>DATA!F109</f>
        <v>0</v>
      </c>
      <c r="E16" s="38">
        <f>DATA!G109</f>
        <v>0</v>
      </c>
      <c r="F16" s="38">
        <v>0</v>
      </c>
      <c r="G16" s="38">
        <f>IF(E16=0,0,IF(MOD(DATA!B109,2)=0,ROUND(G15/2,0),ROUND(G15,0)))</f>
        <v>0</v>
      </c>
      <c r="H16" s="38">
        <f>IF(E16=0,0,ROUND(H15/2,0))</f>
        <v>0</v>
      </c>
      <c r="I16" s="38"/>
      <c r="J16" s="38">
        <v>0</v>
      </c>
      <c r="K16" s="38">
        <v>0</v>
      </c>
      <c r="L16" s="38">
        <v>0</v>
      </c>
      <c r="M16" s="38">
        <f t="shared" si="0"/>
        <v>0</v>
      </c>
      <c r="N16" s="38">
        <v>0</v>
      </c>
      <c r="O16" s="38">
        <v>0</v>
      </c>
      <c r="P16" s="38">
        <v>0</v>
      </c>
      <c r="Q16" s="38">
        <v>0</v>
      </c>
      <c r="R16" s="38"/>
      <c r="S16" s="38">
        <v>0</v>
      </c>
      <c r="T16" s="38">
        <f>IF(DATA!$AN$12=0,SUM(N16:S16),0)</f>
        <v>0</v>
      </c>
    </row>
    <row r="17" spans="1:20" ht="27">
      <c r="A17" s="38">
        <v>14</v>
      </c>
      <c r="B17" s="42" t="s">
        <v>326</v>
      </c>
      <c r="C17" s="37">
        <f>DATA!AM21</f>
        <v>0</v>
      </c>
      <c r="D17" s="37">
        <f>DATA!AP21</f>
        <v>0</v>
      </c>
      <c r="E17" s="37">
        <f>DATA!AS21</f>
        <v>0</v>
      </c>
      <c r="F17" s="38">
        <v>0</v>
      </c>
      <c r="G17" s="38">
        <v>0</v>
      </c>
      <c r="H17" s="38">
        <v>0</v>
      </c>
      <c r="I17" s="38"/>
      <c r="J17" s="38">
        <v>0</v>
      </c>
      <c r="K17" s="38">
        <v>0</v>
      </c>
      <c r="L17" s="38">
        <v>0</v>
      </c>
      <c r="M17" s="38">
        <f t="shared" si="0"/>
        <v>0</v>
      </c>
      <c r="N17" s="43">
        <f>DATA!AW21</f>
        <v>0</v>
      </c>
      <c r="O17" s="38">
        <v>0</v>
      </c>
      <c r="P17" s="38">
        <v>0</v>
      </c>
      <c r="Q17" s="38">
        <f>DATA!AZ21</f>
        <v>0</v>
      </c>
      <c r="R17" s="38"/>
      <c r="S17" s="38">
        <v>0</v>
      </c>
      <c r="T17" s="38">
        <f>IF(DATA!$AN$12=0,SUM(N17:S17),0)</f>
        <v>0</v>
      </c>
    </row>
    <row r="18" spans="1:20" ht="38.25">
      <c r="A18" s="38">
        <v>15</v>
      </c>
      <c r="B18" s="303" t="str">
        <f>'Salary Details'!B18</f>
        <v>DA Arrears (8M) July_15 to Feb_16</v>
      </c>
      <c r="C18" s="44">
        <f>'Salary Details'!C18</f>
        <v>0</v>
      </c>
      <c r="D18" s="44">
        <f>'Salary Details'!D18</f>
        <v>8047</v>
      </c>
      <c r="E18" s="44">
        <f>'Salary Details'!E18</f>
        <v>0</v>
      </c>
      <c r="F18" s="44">
        <f>'Salary Details'!F18</f>
        <v>0</v>
      </c>
      <c r="G18" s="44">
        <f>'Salary Details'!G18</f>
        <v>0</v>
      </c>
      <c r="H18" s="44">
        <f>'Salary Details'!H18</f>
        <v>0</v>
      </c>
      <c r="I18" s="44"/>
      <c r="J18" s="44">
        <f>'Salary Details'!J18</f>
        <v>0</v>
      </c>
      <c r="K18" s="44">
        <f>'Salary Details'!K18</f>
        <v>0</v>
      </c>
      <c r="L18" s="44">
        <f>'Salary Details'!L18</f>
        <v>0</v>
      </c>
      <c r="M18" s="44">
        <f>'Salary Details'!M18</f>
        <v>8047</v>
      </c>
      <c r="N18" s="44">
        <f>'Salary Details'!N18</f>
        <v>8047</v>
      </c>
      <c r="O18" s="44">
        <f>'Salary Details'!O18</f>
        <v>0</v>
      </c>
      <c r="P18" s="44">
        <f>'Salary Details'!P18</f>
        <v>0</v>
      </c>
      <c r="Q18" s="44">
        <f>'Salary Details'!Q18</f>
        <v>0</v>
      </c>
      <c r="R18" s="44">
        <f>'Salary Details'!R18</f>
        <v>0</v>
      </c>
      <c r="S18" s="44">
        <f>'Salary Details'!S18</f>
        <v>0</v>
      </c>
      <c r="T18" s="44">
        <f>'Salary Details'!T18</f>
        <v>8047</v>
      </c>
    </row>
    <row r="19" spans="1:20" ht="25.5">
      <c r="A19" s="38">
        <v>16</v>
      </c>
      <c r="B19" s="303" t="str">
        <f>'Salary Details'!B19</f>
        <v>DA Arrears (9M) Jan_16 to Sept_16</v>
      </c>
      <c r="C19" s="44">
        <f>'Salary Details'!C19</f>
        <v>0</v>
      </c>
      <c r="D19" s="44">
        <f>'Salary Details'!D19</f>
        <v>9153</v>
      </c>
      <c r="E19" s="44">
        <f>'Salary Details'!E19</f>
        <v>0</v>
      </c>
      <c r="F19" s="44">
        <f>'Salary Details'!F19</f>
        <v>0</v>
      </c>
      <c r="G19" s="44">
        <f>'Salary Details'!G19</f>
        <v>0</v>
      </c>
      <c r="H19" s="44">
        <f>'Salary Details'!H19</f>
        <v>0</v>
      </c>
      <c r="I19" s="44"/>
      <c r="J19" s="44">
        <f>'Salary Details'!J19</f>
        <v>0</v>
      </c>
      <c r="K19" s="44">
        <f>'Salary Details'!K19</f>
        <v>0</v>
      </c>
      <c r="L19" s="44">
        <f>'Salary Details'!L19</f>
        <v>0</v>
      </c>
      <c r="M19" s="44">
        <f>'Salary Details'!M19</f>
        <v>9153</v>
      </c>
      <c r="N19" s="44">
        <f>'Salary Details'!N19</f>
        <v>9153</v>
      </c>
      <c r="O19" s="44">
        <f>'Salary Details'!O19</f>
        <v>0</v>
      </c>
      <c r="P19" s="44">
        <f>'Salary Details'!P19</f>
        <v>0</v>
      </c>
      <c r="Q19" s="44">
        <f>'Salary Details'!Q19</f>
        <v>0</v>
      </c>
      <c r="R19" s="44">
        <f>'Salary Details'!R19</f>
        <v>0</v>
      </c>
      <c r="S19" s="44">
        <f>'Salary Details'!S19</f>
        <v>0</v>
      </c>
      <c r="T19" s="44">
        <f>'Salary Details'!T19</f>
        <v>9153</v>
      </c>
    </row>
    <row r="20" spans="1:20" ht="15">
      <c r="A20" s="38">
        <v>17</v>
      </c>
      <c r="B20" s="45" t="str">
        <f>IF(DATA!Q113=2,"AAS Arrear "&amp;DATA!T109," AAS Arrears")</f>
        <v> AAS Arrears</v>
      </c>
      <c r="C20" s="44">
        <f>DATA!Z114</f>
        <v>0</v>
      </c>
      <c r="D20" s="44">
        <f>DATA!AA114</f>
        <v>0</v>
      </c>
      <c r="E20" s="44">
        <f>IF(C20=0,0,DATA!AB115)</f>
        <v>0</v>
      </c>
      <c r="F20" s="38">
        <v>0</v>
      </c>
      <c r="G20" s="38">
        <v>0</v>
      </c>
      <c r="H20" s="38">
        <v>0</v>
      </c>
      <c r="I20" s="38">
        <f>ROUND(C20*27%,0)</f>
        <v>0</v>
      </c>
      <c r="J20" s="38">
        <v>0</v>
      </c>
      <c r="K20" s="38">
        <v>0</v>
      </c>
      <c r="L20" s="38">
        <v>0</v>
      </c>
      <c r="M20" s="38">
        <f>SUM(C20:L20)</f>
        <v>0</v>
      </c>
      <c r="N20" s="43">
        <v>0</v>
      </c>
      <c r="O20" s="38">
        <v>0</v>
      </c>
      <c r="P20" s="38">
        <v>0</v>
      </c>
      <c r="Q20" s="38">
        <v>0</v>
      </c>
      <c r="R20" s="38"/>
      <c r="S20" s="38">
        <v>0</v>
      </c>
      <c r="T20" s="38">
        <f>IF(DATA!$AN$12=0,SUM(N20:S20),0)</f>
        <v>0</v>
      </c>
    </row>
    <row r="21" spans="1:20" ht="25.5">
      <c r="A21" s="38">
        <v>18</v>
      </c>
      <c r="B21" s="46" t="s">
        <v>252</v>
      </c>
      <c r="C21" s="44">
        <v>0</v>
      </c>
      <c r="D21" s="43">
        <v>0</v>
      </c>
      <c r="E21" s="38">
        <v>0</v>
      </c>
      <c r="F21" s="38">
        <v>0</v>
      </c>
      <c r="G21" s="38">
        <v>0</v>
      </c>
      <c r="H21" s="38">
        <v>0</v>
      </c>
      <c r="I21" s="38"/>
      <c r="J21" s="38">
        <f>DATA!AZ12</f>
        <v>0</v>
      </c>
      <c r="K21" s="38">
        <v>0</v>
      </c>
      <c r="L21" s="38">
        <v>0</v>
      </c>
      <c r="M21" s="38">
        <f>SUM(C21:L21)</f>
        <v>0</v>
      </c>
      <c r="N21" s="43">
        <v>0</v>
      </c>
      <c r="O21" s="38">
        <v>0</v>
      </c>
      <c r="P21" s="38">
        <v>0</v>
      </c>
      <c r="Q21" s="38">
        <v>0</v>
      </c>
      <c r="R21" s="38"/>
      <c r="S21" s="38">
        <v>0</v>
      </c>
      <c r="T21" s="38">
        <f>IF(DATA!$AN$12=0,SUM(N21:S21),0)</f>
        <v>0</v>
      </c>
    </row>
    <row r="22" spans="1:20" ht="27" hidden="1">
      <c r="A22" s="38">
        <v>19</v>
      </c>
      <c r="B22" s="47" t="s">
        <v>30</v>
      </c>
      <c r="C22" s="37">
        <v>0</v>
      </c>
      <c r="D22" s="43">
        <v>0</v>
      </c>
      <c r="E22" s="38">
        <v>0</v>
      </c>
      <c r="F22" s="38">
        <v>0</v>
      </c>
      <c r="G22" s="38">
        <v>0</v>
      </c>
      <c r="H22" s="38">
        <v>0</v>
      </c>
      <c r="I22" s="38"/>
      <c r="J22" s="38">
        <v>0</v>
      </c>
      <c r="K22" s="38">
        <v>0</v>
      </c>
      <c r="L22" s="38">
        <v>0</v>
      </c>
      <c r="M22" s="38">
        <f>SUM(C22:L22)</f>
        <v>0</v>
      </c>
      <c r="N22" s="43">
        <v>0</v>
      </c>
      <c r="O22" s="38">
        <v>0</v>
      </c>
      <c r="P22" s="38">
        <v>0</v>
      </c>
      <c r="Q22" s="38">
        <v>0</v>
      </c>
      <c r="R22" s="38"/>
      <c r="S22" s="38">
        <v>0</v>
      </c>
      <c r="T22" s="38">
        <f>SUM(N22:S22)</f>
        <v>0</v>
      </c>
    </row>
    <row r="23" spans="1:20" ht="15">
      <c r="A23" s="620" t="s">
        <v>31</v>
      </c>
      <c r="B23" s="621"/>
      <c r="C23" s="308">
        <f>SUM(C4:C22)</f>
        <v>392480</v>
      </c>
      <c r="D23" s="308">
        <f>SUM(D4:D22)</f>
        <v>71758</v>
      </c>
      <c r="E23" s="308">
        <f>SUM(E4:E22)</f>
        <v>47097</v>
      </c>
      <c r="F23" s="308">
        <f aca="true" t="shared" si="1" ref="F23:P23">SUM(F4:F22)</f>
        <v>0</v>
      </c>
      <c r="G23" s="308">
        <f t="shared" si="1"/>
        <v>0</v>
      </c>
      <c r="H23" s="308">
        <f t="shared" si="1"/>
        <v>0</v>
      </c>
      <c r="I23" s="308">
        <f>SUM(I4:I21)</f>
        <v>3240</v>
      </c>
      <c r="J23" s="308">
        <f t="shared" si="1"/>
        <v>0</v>
      </c>
      <c r="K23" s="308">
        <f t="shared" si="1"/>
        <v>0</v>
      </c>
      <c r="L23" s="309">
        <f>SUM(L4:L22)</f>
        <v>0</v>
      </c>
      <c r="M23" s="308">
        <f>IF(B29&lt;&gt;"",SUM(M4:M22),"")</f>
        <v>514575</v>
      </c>
      <c r="N23" s="308">
        <f>SUM(N4:N22)</f>
        <v>161200</v>
      </c>
      <c r="O23" s="308">
        <f>SUM(O4:O22)</f>
        <v>5400</v>
      </c>
      <c r="P23" s="308">
        <f t="shared" si="1"/>
        <v>720</v>
      </c>
      <c r="Q23" s="308">
        <f>SUM(Q4:Q22)</f>
        <v>2400</v>
      </c>
      <c r="R23" s="308">
        <f>SUM(R4:R15)</f>
        <v>1080</v>
      </c>
      <c r="S23" s="308">
        <f>SUM(S4:S22)</f>
        <v>70</v>
      </c>
      <c r="T23" s="308">
        <f>SUM(T4:T22)</f>
        <v>170870</v>
      </c>
    </row>
    <row r="24" spans="1:20" ht="15">
      <c r="A24" s="49"/>
      <c r="B24" s="49"/>
      <c r="C24" s="49"/>
      <c r="D24" s="49"/>
      <c r="E24" s="49"/>
      <c r="F24" s="49"/>
      <c r="G24" s="49"/>
      <c r="H24" s="49"/>
      <c r="I24" s="49"/>
      <c r="J24" s="49"/>
      <c r="K24" s="49"/>
      <c r="L24" s="49"/>
      <c r="M24" s="49"/>
      <c r="N24" s="49"/>
      <c r="O24" s="49"/>
      <c r="P24" s="49"/>
      <c r="Q24" s="49"/>
      <c r="R24" s="49"/>
      <c r="S24" s="49"/>
      <c r="T24" s="49"/>
    </row>
    <row r="25" spans="1:20" ht="15">
      <c r="A25" s="49"/>
      <c r="B25" s="49"/>
      <c r="C25" s="49"/>
      <c r="D25" s="49"/>
      <c r="E25" s="49"/>
      <c r="F25" s="49"/>
      <c r="G25" s="49"/>
      <c r="H25" s="49"/>
      <c r="I25" s="49"/>
      <c r="J25" s="49"/>
      <c r="K25" s="49"/>
      <c r="L25" s="49"/>
      <c r="M25" s="49"/>
      <c r="N25" s="49"/>
      <c r="O25" s="49"/>
      <c r="P25" s="49"/>
      <c r="Q25" s="49"/>
      <c r="R25" s="49"/>
      <c r="S25" s="49"/>
      <c r="T25" s="49"/>
    </row>
    <row r="26" spans="1:20" ht="15">
      <c r="A26" s="49"/>
      <c r="B26" s="49"/>
      <c r="C26" s="49"/>
      <c r="D26" s="49"/>
      <c r="E26" s="49"/>
      <c r="F26" s="49"/>
      <c r="G26" s="49"/>
      <c r="H26" s="49"/>
      <c r="I26" s="49"/>
      <c r="J26" s="49"/>
      <c r="K26" s="49"/>
      <c r="L26" s="49"/>
      <c r="M26" s="49"/>
      <c r="N26" s="49"/>
      <c r="O26" s="49"/>
      <c r="P26" s="49"/>
      <c r="Q26" s="49"/>
      <c r="R26" s="49"/>
      <c r="S26" s="49"/>
      <c r="T26" s="49"/>
    </row>
    <row r="27" spans="1:20" ht="15">
      <c r="A27" s="49"/>
      <c r="B27" s="49" t="s">
        <v>251</v>
      </c>
      <c r="C27" s="49"/>
      <c r="D27" s="49"/>
      <c r="E27" s="49"/>
      <c r="F27" s="49"/>
      <c r="G27" s="49"/>
      <c r="H27" s="49"/>
      <c r="I27" s="49"/>
      <c r="J27" s="49"/>
      <c r="K27" s="49"/>
      <c r="L27" s="49"/>
      <c r="M27" s="49"/>
      <c r="N27" s="49"/>
      <c r="O27" s="49"/>
      <c r="P27" s="49" t="s">
        <v>123</v>
      </c>
      <c r="Q27" s="49"/>
      <c r="R27" s="49"/>
      <c r="S27" s="49"/>
      <c r="T27" s="49"/>
    </row>
    <row r="28" spans="1:20" ht="15">
      <c r="A28" s="49"/>
      <c r="B28" s="49"/>
      <c r="C28" s="49"/>
      <c r="D28" s="49"/>
      <c r="E28" s="49"/>
      <c r="F28" s="49"/>
      <c r="G28" s="49"/>
      <c r="H28" s="49"/>
      <c r="I28" s="49"/>
      <c r="J28" s="49"/>
      <c r="K28" s="49"/>
      <c r="L28" s="49"/>
      <c r="M28" s="49"/>
      <c r="N28" s="49"/>
      <c r="O28" s="49"/>
      <c r="P28" s="49"/>
      <c r="Q28" s="49"/>
      <c r="R28" s="49"/>
      <c r="S28" s="49"/>
      <c r="T28" s="49"/>
    </row>
    <row r="29" spans="1:20" ht="15">
      <c r="A29" s="49"/>
      <c r="B29" s="305" t="str">
        <f>DATA!D148</f>
        <v>Software developed by S.Seshadri,SA(MM),ZPHS-Thugundram,GD Nellore,Chittoor(Dist) Visit: www.apteacher.net</v>
      </c>
      <c r="C29" s="49"/>
      <c r="D29" s="49"/>
      <c r="E29" s="49"/>
      <c r="F29" s="49"/>
      <c r="G29" s="49"/>
      <c r="H29" s="49"/>
      <c r="I29" s="49"/>
      <c r="J29" s="49"/>
      <c r="K29" s="49"/>
      <c r="L29" s="49"/>
      <c r="M29" s="49"/>
      <c r="N29" s="49"/>
      <c r="O29" s="49"/>
      <c r="P29" s="49"/>
      <c r="Q29" s="49"/>
      <c r="R29" s="49"/>
      <c r="S29" s="49"/>
      <c r="T29" s="49"/>
    </row>
  </sheetData>
  <sheetProtection password="92B2" sheet="1" objects="1" scenarios="1" selectLockedCells="1"/>
  <mergeCells count="2">
    <mergeCell ref="A1:T1"/>
    <mergeCell ref="A23:B23"/>
  </mergeCells>
  <printOptions/>
  <pageMargins left="0.7086614173228347" right="0.7086614173228347" top="0.5511811023622047" bottom="0.5511811023622047" header="0.31496062992125984" footer="0.31496062992125984"/>
  <pageSetup fitToHeight="0" fitToWidth="1" horizontalDpi="600" verticalDpi="600" orientation="landscape" paperSize="9" scale="84" r:id="rId2"/>
  <headerFooter>
    <oddHeader>&amp;Rwww.apteacher.net
</oddHeader>
  </headerFooter>
  <drawing r:id="rId1"/>
</worksheet>
</file>

<file path=xl/worksheets/sheet6.xml><?xml version="1.0" encoding="utf-8"?>
<worksheet xmlns="http://schemas.openxmlformats.org/spreadsheetml/2006/main" xmlns:r="http://schemas.openxmlformats.org/officeDocument/2006/relationships">
  <sheetPr codeName="Sheet10">
    <tabColor theme="6" tint="-0.4999699890613556"/>
    <pageSetUpPr fitToPage="1"/>
  </sheetPr>
  <dimension ref="A1:AB70"/>
  <sheetViews>
    <sheetView showGridLines="0" showRowColHeaders="0" workbookViewId="0" topLeftCell="A1">
      <selection activeCell="A75" sqref="A75"/>
    </sheetView>
  </sheetViews>
  <sheetFormatPr defaultColWidth="9.140625" defaultRowHeight="15"/>
  <cols>
    <col min="1" max="1" width="5.57421875" style="48" customWidth="1"/>
    <col min="2" max="2" width="4.57421875" style="48" customWidth="1"/>
    <col min="3" max="3" width="4.7109375" style="48" customWidth="1"/>
    <col min="4" max="4" width="4.57421875" style="48" customWidth="1"/>
    <col min="5" max="5" width="5.28125" style="48" customWidth="1"/>
    <col min="6" max="6" width="6.421875" style="48" customWidth="1"/>
    <col min="7" max="7" width="17.7109375" style="48" customWidth="1"/>
    <col min="8" max="8" width="23.7109375" style="48" customWidth="1"/>
    <col min="9" max="9" width="3.28125" style="48" customWidth="1"/>
    <col min="10" max="10" width="1.421875" style="48" customWidth="1"/>
    <col min="11" max="11" width="20.00390625" style="48" customWidth="1"/>
    <col min="12" max="12" width="19.140625" style="48" customWidth="1"/>
    <col min="13" max="13" width="9.140625" style="48" customWidth="1"/>
    <col min="14" max="14" width="10.57421875" style="48" bestFit="1" customWidth="1"/>
    <col min="15" max="26" width="9.140625" style="48" customWidth="1"/>
    <col min="27" max="32" width="0" style="48" hidden="1" customWidth="1"/>
    <col min="33" max="16384" width="9.140625" style="48" customWidth="1"/>
  </cols>
  <sheetData>
    <row r="1" spans="1:12" ht="15.75" customHeight="1" thickTop="1">
      <c r="A1" s="663" t="s">
        <v>94</v>
      </c>
      <c r="B1" s="664"/>
      <c r="C1" s="664"/>
      <c r="D1" s="664"/>
      <c r="E1" s="664"/>
      <c r="F1" s="664"/>
      <c r="G1" s="664"/>
      <c r="H1" s="664"/>
      <c r="I1" s="664"/>
      <c r="J1" s="664"/>
      <c r="K1" s="664"/>
      <c r="L1" s="665"/>
    </row>
    <row r="2" spans="1:12" ht="18" customHeight="1">
      <c r="A2" s="640" t="s">
        <v>593</v>
      </c>
      <c r="B2" s="641"/>
      <c r="C2" s="641"/>
      <c r="D2" s="641"/>
      <c r="E2" s="641"/>
      <c r="F2" s="641"/>
      <c r="G2" s="641"/>
      <c r="H2" s="641"/>
      <c r="I2" s="641"/>
      <c r="J2" s="641"/>
      <c r="K2" s="641"/>
      <c r="L2" s="642"/>
    </row>
    <row r="3" spans="1:12" ht="13.5" customHeight="1">
      <c r="A3" s="646" t="str">
        <f>CONCATENATE("Name of the Emp : ",DATA!AN3,"                                      ","Designation : ",DATA!AX3)</f>
        <v>Name of the Emp : G Kishore                                      Designation : SGT</v>
      </c>
      <c r="B3" s="647"/>
      <c r="C3" s="647"/>
      <c r="D3" s="647"/>
      <c r="E3" s="647"/>
      <c r="F3" s="647"/>
      <c r="G3" s="647"/>
      <c r="H3" s="647"/>
      <c r="I3" s="647"/>
      <c r="J3" s="647"/>
      <c r="K3" s="647"/>
      <c r="L3" s="648"/>
    </row>
    <row r="4" spans="1:12" ht="11.25" customHeight="1">
      <c r="A4" s="649" t="str">
        <f>CONCATENATE("Office : ",DATA!AM4,"                       ",IF(DATA!AT4&lt;&gt;"","Mandal : ",""),DATA!AT4,"                    Treasury ID: ",DATA!AX5)</f>
        <v>Office : MPPS Chenganapalle                       Mandal : Irala                    Treasury ID: 1105013</v>
      </c>
      <c r="B4" s="650"/>
      <c r="C4" s="650"/>
      <c r="D4" s="650"/>
      <c r="E4" s="650"/>
      <c r="F4" s="650"/>
      <c r="G4" s="650"/>
      <c r="H4" s="650"/>
      <c r="I4" s="650"/>
      <c r="J4" s="650"/>
      <c r="K4" s="650"/>
      <c r="L4" s="651"/>
    </row>
    <row r="5" spans="1:12" ht="15">
      <c r="A5" s="50" t="s">
        <v>124</v>
      </c>
      <c r="B5" s="51"/>
      <c r="C5" s="52"/>
      <c r="D5" s="52"/>
      <c r="E5" s="53">
        <f>IF(DATA!AY8="","",DATA!AY8)</f>
      </c>
      <c r="F5" s="53"/>
      <c r="G5" s="54"/>
      <c r="H5" s="51"/>
      <c r="I5" s="55"/>
      <c r="J5" s="55"/>
      <c r="K5" s="55"/>
      <c r="L5" s="56"/>
    </row>
    <row r="6" spans="1:12" ht="15">
      <c r="A6" s="57">
        <v>1</v>
      </c>
      <c r="B6" s="652" t="str">
        <f>CONCATENATE("Living in : ",DATA!U93," House")</f>
        <v>Living in : Rented House</v>
      </c>
      <c r="C6" s="653"/>
      <c r="D6" s="653"/>
      <c r="E6" s="653"/>
      <c r="F6" s="653"/>
      <c r="G6" s="656"/>
      <c r="H6" s="656"/>
      <c r="I6" s="656"/>
      <c r="J6" s="58"/>
      <c r="K6" s="347"/>
      <c r="L6" s="59"/>
    </row>
    <row r="7" spans="1:12" ht="15.75">
      <c r="A7" s="57">
        <v>2</v>
      </c>
      <c r="B7" s="628" t="s">
        <v>95</v>
      </c>
      <c r="C7" s="629"/>
      <c r="D7" s="629"/>
      <c r="E7" s="629"/>
      <c r="F7" s="629"/>
      <c r="G7" s="629"/>
      <c r="H7" s="629"/>
      <c r="I7" s="61" t="s">
        <v>96</v>
      </c>
      <c r="J7" s="62"/>
      <c r="K7" s="352"/>
      <c r="L7" s="366">
        <f>'Salary Details'!M23</f>
        <v>514575</v>
      </c>
    </row>
    <row r="8" spans="1:12" ht="15.75">
      <c r="A8" s="57">
        <v>3</v>
      </c>
      <c r="B8" s="633" t="s">
        <v>97</v>
      </c>
      <c r="C8" s="634"/>
      <c r="D8" s="634"/>
      <c r="E8" s="634"/>
      <c r="F8" s="634"/>
      <c r="G8" s="634"/>
      <c r="H8" s="634"/>
      <c r="I8" s="67"/>
      <c r="J8" s="68"/>
      <c r="K8" s="348"/>
      <c r="L8" s="644">
        <f>MIN(K9:K11)</f>
        <v>47097</v>
      </c>
    </row>
    <row r="9" spans="1:12" ht="15" customHeight="1">
      <c r="A9" s="57"/>
      <c r="B9" s="66" t="s">
        <v>98</v>
      </c>
      <c r="C9" s="643" t="s">
        <v>125</v>
      </c>
      <c r="D9" s="643"/>
      <c r="E9" s="643"/>
      <c r="F9" s="643"/>
      <c r="G9" s="643"/>
      <c r="H9" s="643"/>
      <c r="I9" s="67" t="s">
        <v>96</v>
      </c>
      <c r="J9" s="68"/>
      <c r="K9" s="349">
        <f>'Salary Details'!E23+IF(DATA!V6=2,'Salary Details'!F23,0)</f>
        <v>47097</v>
      </c>
      <c r="L9" s="644"/>
    </row>
    <row r="10" spans="1:12" ht="15" customHeight="1">
      <c r="A10" s="57"/>
      <c r="B10" s="66" t="s">
        <v>99</v>
      </c>
      <c r="C10" s="622" t="str">
        <f>CONCATENATE("Rent paid in excess of 10% Salary ","( Rs:",DATA!N134,"x12=",DATA!N139," - ",DATA!P133,")",)</f>
        <v>Rent paid in excess of 10% Salary ( Rs:7900x12=94800 - 46424)</v>
      </c>
      <c r="D10" s="622"/>
      <c r="E10" s="622"/>
      <c r="F10" s="622"/>
      <c r="G10" s="622"/>
      <c r="H10" s="622"/>
      <c r="I10" s="67" t="s">
        <v>96</v>
      </c>
      <c r="J10" s="68"/>
      <c r="K10" s="353">
        <f>IF(DATA!T93=1,DATA!P139,0)</f>
        <v>48376</v>
      </c>
      <c r="L10" s="644"/>
    </row>
    <row r="11" spans="1:28" ht="15" customHeight="1">
      <c r="A11" s="57"/>
      <c r="B11" s="66" t="s">
        <v>100</v>
      </c>
      <c r="C11" s="643" t="s">
        <v>101</v>
      </c>
      <c r="D11" s="643"/>
      <c r="E11" s="643"/>
      <c r="F11" s="643"/>
      <c r="G11" s="643"/>
      <c r="H11" s="643"/>
      <c r="I11" s="67" t="s">
        <v>96</v>
      </c>
      <c r="J11" s="68"/>
      <c r="K11" s="349">
        <f>ROUND(('Salary Details'!C23+'Salary Details'!D23)*40%,0)</f>
        <v>185695</v>
      </c>
      <c r="L11" s="645"/>
      <c r="AB11" s="48">
        <f>ROUND(('Salary Details'!C23+'Salary Details'!D23)*10%,0)</f>
        <v>46424</v>
      </c>
    </row>
    <row r="12" spans="1:28" ht="15.75">
      <c r="A12" s="57">
        <v>4</v>
      </c>
      <c r="B12" s="654" t="str">
        <f>CONCATENATE("Deduct (a)or(b)or(c) which ever is less [2 - 3]","i.e ",L7," - ",MIN(K9:K11)," = ",L7-MIN(L9:L11))</f>
        <v>Deduct (a)or(b)or(c) which ever is less [2 - 3]i.e 514575 - 47097 = 514575</v>
      </c>
      <c r="C12" s="655"/>
      <c r="D12" s="655"/>
      <c r="E12" s="655"/>
      <c r="F12" s="655"/>
      <c r="G12" s="655"/>
      <c r="H12" s="655"/>
      <c r="I12" s="67" t="s">
        <v>96</v>
      </c>
      <c r="J12" s="68"/>
      <c r="K12" s="349"/>
      <c r="L12" s="366">
        <f>IF(A69&lt;&gt;"",L7-L8,"")</f>
        <v>467478</v>
      </c>
      <c r="AB12" s="71">
        <f>L9</f>
        <v>0</v>
      </c>
    </row>
    <row r="13" spans="1:12" ht="15.75">
      <c r="A13" s="57">
        <v>5</v>
      </c>
      <c r="B13" s="628" t="s">
        <v>102</v>
      </c>
      <c r="C13" s="629"/>
      <c r="D13" s="629"/>
      <c r="E13" s="629"/>
      <c r="F13" s="629"/>
      <c r="G13" s="629"/>
      <c r="H13" s="629"/>
      <c r="I13" s="67"/>
      <c r="J13" s="68"/>
      <c r="K13" s="349"/>
      <c r="L13" s="65"/>
    </row>
    <row r="14" spans="1:12" ht="15" customHeight="1">
      <c r="A14" s="57"/>
      <c r="B14" s="66" t="s">
        <v>98</v>
      </c>
      <c r="C14" s="639" t="s">
        <v>103</v>
      </c>
      <c r="D14" s="639"/>
      <c r="E14" s="639"/>
      <c r="F14" s="639"/>
      <c r="G14" s="639"/>
      <c r="H14" s="639"/>
      <c r="I14" s="67" t="s">
        <v>96</v>
      </c>
      <c r="J14" s="68"/>
      <c r="K14" s="349"/>
      <c r="L14" s="69"/>
    </row>
    <row r="15" spans="1:14" ht="15" customHeight="1">
      <c r="A15" s="57"/>
      <c r="B15" s="66" t="s">
        <v>99</v>
      </c>
      <c r="C15" s="72" t="s">
        <v>128</v>
      </c>
      <c r="D15" s="72"/>
      <c r="E15" s="72"/>
      <c r="F15" s="72"/>
      <c r="G15" s="72"/>
      <c r="H15" s="72"/>
      <c r="I15" s="67" t="s">
        <v>96</v>
      </c>
      <c r="J15" s="68"/>
      <c r="K15" s="349"/>
      <c r="L15" s="73"/>
      <c r="N15" s="368"/>
    </row>
    <row r="16" spans="1:12" ht="15" customHeight="1">
      <c r="A16" s="57"/>
      <c r="B16" s="66" t="s">
        <v>100</v>
      </c>
      <c r="C16" s="635" t="s">
        <v>104</v>
      </c>
      <c r="D16" s="635"/>
      <c r="E16" s="635"/>
      <c r="F16" s="635"/>
      <c r="G16" s="635"/>
      <c r="H16" s="72"/>
      <c r="I16" s="67" t="s">
        <v>96</v>
      </c>
      <c r="J16" s="68"/>
      <c r="K16" s="349">
        <f>'Salary Details'!Q23</f>
        <v>2400</v>
      </c>
      <c r="L16" s="69">
        <f>K14+K15+K16</f>
        <v>2400</v>
      </c>
    </row>
    <row r="17" spans="1:18" ht="16.5">
      <c r="A17" s="57">
        <v>6</v>
      </c>
      <c r="B17" s="628" t="s">
        <v>129</v>
      </c>
      <c r="C17" s="629"/>
      <c r="D17" s="629"/>
      <c r="E17" s="629"/>
      <c r="F17" s="629"/>
      <c r="G17" s="629"/>
      <c r="H17" s="629"/>
      <c r="I17" s="67" t="s">
        <v>96</v>
      </c>
      <c r="J17" s="68"/>
      <c r="K17" s="349"/>
      <c r="L17" s="354">
        <f>L12-L16</f>
        <v>465078</v>
      </c>
      <c r="R17" s="74"/>
    </row>
    <row r="18" spans="1:12" ht="15" customHeight="1">
      <c r="A18" s="57">
        <v>7</v>
      </c>
      <c r="B18" s="82" t="s">
        <v>98</v>
      </c>
      <c r="C18" s="75" t="s">
        <v>105</v>
      </c>
      <c r="D18" s="75"/>
      <c r="E18" s="75"/>
      <c r="F18" s="75"/>
      <c r="G18" s="75"/>
      <c r="H18" s="76"/>
      <c r="I18" s="67" t="s">
        <v>96</v>
      </c>
      <c r="J18" s="68"/>
      <c r="K18" s="349">
        <v>0</v>
      </c>
      <c r="L18" s="77"/>
    </row>
    <row r="19" spans="1:12" ht="15" customHeight="1">
      <c r="A19" s="57"/>
      <c r="B19" s="82" t="s">
        <v>99</v>
      </c>
      <c r="C19" s="75" t="s">
        <v>328</v>
      </c>
      <c r="D19" s="75"/>
      <c r="E19" s="75"/>
      <c r="F19" s="75"/>
      <c r="G19" s="75"/>
      <c r="H19" s="76"/>
      <c r="I19" s="67" t="s">
        <v>96</v>
      </c>
      <c r="J19" s="68"/>
      <c r="K19" s="349">
        <f>DATA!AU13</f>
        <v>0</v>
      </c>
      <c r="L19" s="65"/>
    </row>
    <row r="20" spans="1:12" ht="16.5">
      <c r="A20" s="57">
        <v>8</v>
      </c>
      <c r="B20" s="628" t="s">
        <v>255</v>
      </c>
      <c r="C20" s="629"/>
      <c r="D20" s="629"/>
      <c r="E20" s="629"/>
      <c r="F20" s="629"/>
      <c r="G20" s="629"/>
      <c r="H20" s="629"/>
      <c r="I20" s="67" t="s">
        <v>96</v>
      </c>
      <c r="J20" s="68"/>
      <c r="K20" s="349"/>
      <c r="L20" s="354">
        <f>L17+K18-K19</f>
        <v>465078</v>
      </c>
    </row>
    <row r="21" spans="1:12" ht="15.75">
      <c r="A21" s="57">
        <v>9</v>
      </c>
      <c r="B21" s="666" t="s">
        <v>531</v>
      </c>
      <c r="C21" s="667"/>
      <c r="D21" s="667"/>
      <c r="E21" s="667"/>
      <c r="F21" s="667"/>
      <c r="G21" s="667"/>
      <c r="H21" s="667"/>
      <c r="I21" s="67"/>
      <c r="J21" s="68"/>
      <c r="K21" s="349"/>
      <c r="L21" s="660">
        <f>IF(SUM(K22:K32)&gt;150000,150000,SUM(K22:K32))</f>
        <v>150000</v>
      </c>
    </row>
    <row r="22" spans="1:12" ht="15" customHeight="1">
      <c r="A22" s="57"/>
      <c r="B22" s="66" t="s">
        <v>98</v>
      </c>
      <c r="C22" s="622" t="str">
        <f>DATA!R74</f>
        <v>ZPPF</v>
      </c>
      <c r="D22" s="622"/>
      <c r="E22" s="622"/>
      <c r="F22" s="78"/>
      <c r="G22" s="70"/>
      <c r="H22" s="79"/>
      <c r="I22" s="67" t="s">
        <v>96</v>
      </c>
      <c r="J22" s="68"/>
      <c r="K22" s="357">
        <f>IF(AND(DATA!$Q$74=3,('Salary Details'!N23+DATA!AW21)&gt;50000),('Salary Details'!N23+DATA!AW21)-50000,IF(OR(DATA!$Q$74=1,DATA!$Q$74=2),('Salary Details'!N23+DATA!AW21),""))</f>
        <v>161200</v>
      </c>
      <c r="L22" s="644"/>
    </row>
    <row r="23" spans="1:12" ht="15" customHeight="1">
      <c r="A23" s="57"/>
      <c r="B23" s="66" t="s">
        <v>99</v>
      </c>
      <c r="C23" s="622" t="s">
        <v>89</v>
      </c>
      <c r="D23" s="622"/>
      <c r="E23" s="70"/>
      <c r="F23" s="81"/>
      <c r="G23" s="79"/>
      <c r="H23" s="79"/>
      <c r="I23" s="67" t="s">
        <v>96</v>
      </c>
      <c r="J23" s="68"/>
      <c r="K23" s="357">
        <f>'Salary Details'!O23</f>
        <v>5400</v>
      </c>
      <c r="L23" s="644"/>
    </row>
    <row r="24" spans="1:12" ht="15" customHeight="1">
      <c r="A24" s="57"/>
      <c r="B24" s="66" t="s">
        <v>100</v>
      </c>
      <c r="C24" s="70" t="s">
        <v>91</v>
      </c>
      <c r="D24" s="70"/>
      <c r="E24" s="70"/>
      <c r="F24" s="70"/>
      <c r="G24" s="70"/>
      <c r="H24" s="70"/>
      <c r="I24" s="67" t="s">
        <v>96</v>
      </c>
      <c r="J24" s="68"/>
      <c r="K24" s="357">
        <f>'Salary Details'!P23</f>
        <v>720</v>
      </c>
      <c r="L24" s="644"/>
    </row>
    <row r="25" spans="1:12" ht="15" customHeight="1">
      <c r="A25" s="57"/>
      <c r="B25" s="82" t="s">
        <v>107</v>
      </c>
      <c r="C25" s="622" t="str">
        <f>DATA!C101</f>
        <v>PLI Annual Premuim</v>
      </c>
      <c r="D25" s="622"/>
      <c r="E25" s="622"/>
      <c r="F25" s="622"/>
      <c r="G25" s="622"/>
      <c r="H25" s="622"/>
      <c r="I25" s="67" t="s">
        <v>96</v>
      </c>
      <c r="J25" s="68"/>
      <c r="K25" s="357">
        <f>DATA!AO14</f>
        <v>0</v>
      </c>
      <c r="L25" s="644"/>
    </row>
    <row r="26" spans="1:12" ht="15" customHeight="1">
      <c r="A26" s="57"/>
      <c r="B26" s="66" t="s">
        <v>108</v>
      </c>
      <c r="C26" s="622" t="str">
        <f>DATA!C102</f>
        <v>Tution Fee for 2 Chidren</v>
      </c>
      <c r="D26" s="622"/>
      <c r="E26" s="622"/>
      <c r="F26" s="622"/>
      <c r="G26" s="622"/>
      <c r="H26" s="622"/>
      <c r="I26" s="67" t="s">
        <v>96</v>
      </c>
      <c r="J26" s="68"/>
      <c r="K26" s="357">
        <f>DATA!AO15</f>
        <v>0</v>
      </c>
      <c r="L26" s="644"/>
    </row>
    <row r="27" spans="1:12" ht="15" customHeight="1">
      <c r="A27" s="57"/>
      <c r="B27" s="66" t="s">
        <v>109</v>
      </c>
      <c r="C27" s="622" t="str">
        <f>DATA!C103</f>
        <v>LIC Annual Premiums </v>
      </c>
      <c r="D27" s="622"/>
      <c r="E27" s="622"/>
      <c r="F27" s="622"/>
      <c r="G27" s="622"/>
      <c r="H27" s="622"/>
      <c r="I27" s="67" t="s">
        <v>96</v>
      </c>
      <c r="J27" s="68"/>
      <c r="K27" s="357">
        <f>DATA!AO16</f>
        <v>0</v>
      </c>
      <c r="L27" s="644"/>
    </row>
    <row r="28" spans="1:12" ht="15" customHeight="1">
      <c r="A28" s="57"/>
      <c r="B28" s="82" t="s">
        <v>110</v>
      </c>
      <c r="C28" s="622" t="str">
        <f>DATA!C104</f>
        <v>Repayment of Home Loan Premium</v>
      </c>
      <c r="D28" s="622"/>
      <c r="E28" s="622"/>
      <c r="F28" s="622"/>
      <c r="G28" s="622"/>
      <c r="H28" s="622"/>
      <c r="I28" s="67" t="s">
        <v>96</v>
      </c>
      <c r="J28" s="68"/>
      <c r="K28" s="357">
        <f>DATA!AO17</f>
        <v>0</v>
      </c>
      <c r="L28" s="644"/>
    </row>
    <row r="29" spans="1:12" ht="15" customHeight="1">
      <c r="A29" s="57"/>
      <c r="B29" s="66" t="s">
        <v>111</v>
      </c>
      <c r="C29" s="622" t="str">
        <f>DATA!C105</f>
        <v>5 Years Fixed Deposits </v>
      </c>
      <c r="D29" s="622"/>
      <c r="E29" s="622"/>
      <c r="F29" s="622"/>
      <c r="G29" s="622"/>
      <c r="H29" s="622"/>
      <c r="I29" s="67" t="s">
        <v>96</v>
      </c>
      <c r="J29" s="68"/>
      <c r="K29" s="357">
        <f>DATA!AO18</f>
        <v>0</v>
      </c>
      <c r="L29" s="644"/>
    </row>
    <row r="30" spans="1:12" ht="15" customHeight="1">
      <c r="A30" s="57"/>
      <c r="B30" s="82" t="s">
        <v>113</v>
      </c>
      <c r="C30" s="622" t="str">
        <f>DATA!C106</f>
        <v>Repayment of Home Loan Premium</v>
      </c>
      <c r="D30" s="622"/>
      <c r="E30" s="622"/>
      <c r="F30" s="622"/>
      <c r="G30" s="622"/>
      <c r="H30" s="622"/>
      <c r="I30" s="67" t="s">
        <v>96</v>
      </c>
      <c r="J30" s="68"/>
      <c r="K30" s="357">
        <f>DATA!AO19</f>
        <v>0</v>
      </c>
      <c r="L30" s="644"/>
    </row>
    <row r="31" spans="1:12" ht="15" customHeight="1">
      <c r="A31" s="57"/>
      <c r="B31" s="66" t="s">
        <v>114</v>
      </c>
      <c r="C31" s="622" t="str">
        <f>DATA!C107</f>
        <v>Others U/s 80 C</v>
      </c>
      <c r="D31" s="622"/>
      <c r="E31" s="622"/>
      <c r="F31" s="622"/>
      <c r="G31" s="622"/>
      <c r="H31" s="622"/>
      <c r="I31" s="67" t="s">
        <v>96</v>
      </c>
      <c r="J31" s="68"/>
      <c r="K31" s="357">
        <f>DATA!AO20</f>
        <v>0</v>
      </c>
      <c r="L31" s="644"/>
    </row>
    <row r="32" spans="1:12" ht="15" customHeight="1">
      <c r="A32" s="57"/>
      <c r="B32" s="82" t="s">
        <v>115</v>
      </c>
      <c r="C32" s="622" t="str">
        <f>IF(DATA!AN12=0,"Others if any","LIC Salary Deduction")</f>
        <v>Others if any</v>
      </c>
      <c r="D32" s="622"/>
      <c r="E32" s="622"/>
      <c r="F32" s="622"/>
      <c r="G32" s="622"/>
      <c r="H32" s="70"/>
      <c r="I32" s="67" t="s">
        <v>96</v>
      </c>
      <c r="J32" s="68"/>
      <c r="K32" s="357">
        <f>DATA!AN12*12</f>
        <v>0</v>
      </c>
      <c r="L32" s="644"/>
    </row>
    <row r="33" spans="1:12" ht="16.5">
      <c r="A33" s="57">
        <v>10</v>
      </c>
      <c r="B33" s="85" t="s">
        <v>133</v>
      </c>
      <c r="C33" s="86"/>
      <c r="D33" s="86"/>
      <c r="E33" s="86"/>
      <c r="F33" s="60"/>
      <c r="G33" s="60"/>
      <c r="H33" s="87"/>
      <c r="I33" s="83" t="s">
        <v>96</v>
      </c>
      <c r="J33" s="84"/>
      <c r="K33" s="358">
        <f>SUM(K22:K32)</f>
        <v>167320</v>
      </c>
      <c r="L33" s="661"/>
    </row>
    <row r="34" spans="1:12" ht="15.75">
      <c r="A34" s="57">
        <v>11</v>
      </c>
      <c r="B34" s="628" t="str">
        <f>CONCATENATE("Gross Total Income[8-10] i.e Rs ",L20," - ",L21," = ",L34)</f>
        <v>Gross Total Income[8-10] i.e Rs 465078 - 150000 = 315078</v>
      </c>
      <c r="C34" s="629"/>
      <c r="D34" s="629"/>
      <c r="E34" s="629"/>
      <c r="F34" s="629"/>
      <c r="G34" s="629"/>
      <c r="H34" s="630"/>
      <c r="I34" s="88" t="s">
        <v>96</v>
      </c>
      <c r="J34" s="89"/>
      <c r="K34" s="359"/>
      <c r="L34" s="356">
        <f>L20-L21</f>
        <v>315078</v>
      </c>
    </row>
    <row r="35" spans="1:12" ht="15.75">
      <c r="A35" s="57">
        <v>12</v>
      </c>
      <c r="B35" s="628" t="s">
        <v>106</v>
      </c>
      <c r="C35" s="629"/>
      <c r="D35" s="629"/>
      <c r="E35" s="629"/>
      <c r="F35" s="629"/>
      <c r="G35" s="629"/>
      <c r="H35" s="630"/>
      <c r="I35" s="63"/>
      <c r="J35" s="64"/>
      <c r="K35" s="355"/>
      <c r="L35" s="657">
        <f>K46</f>
        <v>1150</v>
      </c>
    </row>
    <row r="36" spans="1:12" ht="15" customHeight="1">
      <c r="A36" s="57"/>
      <c r="B36" s="66" t="s">
        <v>98</v>
      </c>
      <c r="C36" s="622" t="str">
        <f>DATA!AP14</f>
        <v>Medical Insurance Premium          Rs</v>
      </c>
      <c r="D36" s="622"/>
      <c r="E36" s="622"/>
      <c r="F36" s="622"/>
      <c r="G36" s="622"/>
      <c r="H36" s="90"/>
      <c r="I36" s="91" t="s">
        <v>96</v>
      </c>
      <c r="J36" s="92"/>
      <c r="K36" s="357">
        <f>DATA!AU14</f>
        <v>0</v>
      </c>
      <c r="L36" s="658"/>
    </row>
    <row r="37" spans="1:12" ht="15" customHeight="1">
      <c r="A37" s="57"/>
      <c r="B37" s="66" t="s">
        <v>99</v>
      </c>
      <c r="C37" s="622" t="str">
        <f>DATA!AP15</f>
        <v>Expenditure on medical treatment    Rs</v>
      </c>
      <c r="D37" s="622"/>
      <c r="E37" s="622"/>
      <c r="F37" s="622"/>
      <c r="G37" s="622"/>
      <c r="H37" s="90"/>
      <c r="I37" s="91" t="s">
        <v>96</v>
      </c>
      <c r="J37" s="92"/>
      <c r="K37" s="357">
        <f>DATA!AU15</f>
        <v>0</v>
      </c>
      <c r="L37" s="658"/>
    </row>
    <row r="38" spans="1:12" ht="15" customHeight="1">
      <c r="A38" s="57"/>
      <c r="B38" s="66" t="s">
        <v>100</v>
      </c>
      <c r="C38" s="622" t="str">
        <f>DATA!AP16</f>
        <v>Donation of Charitable Institution       Rs</v>
      </c>
      <c r="D38" s="622"/>
      <c r="E38" s="622"/>
      <c r="F38" s="622"/>
      <c r="G38" s="622"/>
      <c r="H38" s="90"/>
      <c r="I38" s="91" t="s">
        <v>96</v>
      </c>
      <c r="J38" s="92"/>
      <c r="K38" s="357">
        <f>DATA!AU16</f>
        <v>0</v>
      </c>
      <c r="L38" s="658"/>
    </row>
    <row r="39" spans="1:12" ht="15" customHeight="1">
      <c r="A39" s="57"/>
      <c r="B39" s="66" t="s">
        <v>107</v>
      </c>
      <c r="C39" s="622" t="str">
        <f>DATA!AP17</f>
        <v>Interest on Educational Loan         Rs</v>
      </c>
      <c r="D39" s="622"/>
      <c r="E39" s="622"/>
      <c r="F39" s="622"/>
      <c r="G39" s="622"/>
      <c r="H39" s="90"/>
      <c r="I39" s="91" t="s">
        <v>96</v>
      </c>
      <c r="J39" s="92"/>
      <c r="K39" s="357">
        <f>DATA!AU17</f>
        <v>0</v>
      </c>
      <c r="L39" s="658"/>
    </row>
    <row r="40" spans="1:12" ht="15" customHeight="1">
      <c r="A40" s="57"/>
      <c r="B40" s="66" t="s">
        <v>108</v>
      </c>
      <c r="C40" s="622" t="str">
        <f>DATA!AP18</f>
        <v>Rajiv Gandhi Equity Savings Scheme
(RGESS)</v>
      </c>
      <c r="D40" s="622"/>
      <c r="E40" s="622"/>
      <c r="F40" s="622"/>
      <c r="G40" s="622"/>
      <c r="H40" s="90"/>
      <c r="I40" s="91" t="s">
        <v>96</v>
      </c>
      <c r="J40" s="92"/>
      <c r="K40" s="357">
        <f>DATA!AU18</f>
        <v>0</v>
      </c>
      <c r="L40" s="658"/>
    </row>
    <row r="41" spans="1:12" ht="15" customHeight="1">
      <c r="A41" s="57"/>
      <c r="B41" s="66" t="s">
        <v>109</v>
      </c>
      <c r="C41" s="622" t="str">
        <f>DATA!AP19</f>
        <v>Medical treatment U/s                   Rs</v>
      </c>
      <c r="D41" s="622"/>
      <c r="E41" s="622"/>
      <c r="F41" s="622"/>
      <c r="G41" s="622"/>
      <c r="H41" s="70"/>
      <c r="I41" s="91" t="s">
        <v>96</v>
      </c>
      <c r="J41" s="93"/>
      <c r="K41" s="357">
        <f>DATA!AU19</f>
        <v>0</v>
      </c>
      <c r="L41" s="658"/>
    </row>
    <row r="42" spans="1:12" ht="15" customHeight="1">
      <c r="A42" s="57"/>
      <c r="B42" s="66" t="s">
        <v>110</v>
      </c>
      <c r="C42" s="622" t="str">
        <f>DATA!AP20</f>
        <v>Maintaince and expenditure treatment for disabled dependent                       Rs</v>
      </c>
      <c r="D42" s="622"/>
      <c r="E42" s="622"/>
      <c r="F42" s="622"/>
      <c r="G42" s="622"/>
      <c r="H42" s="70"/>
      <c r="I42" s="91" t="s">
        <v>96</v>
      </c>
      <c r="J42" s="93"/>
      <c r="K42" s="357">
        <f>DATA!AU20</f>
        <v>0</v>
      </c>
      <c r="L42" s="658"/>
    </row>
    <row r="43" spans="1:12" ht="15" customHeight="1">
      <c r="A43" s="57"/>
      <c r="B43" s="66" t="s">
        <v>111</v>
      </c>
      <c r="C43" s="662" t="s">
        <v>557</v>
      </c>
      <c r="D43" s="662"/>
      <c r="E43" s="662"/>
      <c r="F43" s="662"/>
      <c r="G43" s="662"/>
      <c r="H43" s="662"/>
      <c r="I43" s="91" t="s">
        <v>96</v>
      </c>
      <c r="J43" s="92"/>
      <c r="K43" s="357">
        <f>'Salary Details'!S23+'Salary Details'!R23</f>
        <v>1150</v>
      </c>
      <c r="L43" s="658"/>
    </row>
    <row r="44" spans="1:12" ht="15" customHeight="1">
      <c r="A44" s="57"/>
      <c r="B44" s="66" t="s">
        <v>113</v>
      </c>
      <c r="C44" s="96" t="s">
        <v>266</v>
      </c>
      <c r="D44" s="96"/>
      <c r="E44" s="96"/>
      <c r="F44" s="96"/>
      <c r="G44" s="96"/>
      <c r="H44" s="94"/>
      <c r="I44" s="91" t="s">
        <v>96</v>
      </c>
      <c r="J44" s="92"/>
      <c r="K44" s="357">
        <f>DATA!AO13</f>
        <v>0</v>
      </c>
      <c r="L44" s="658"/>
    </row>
    <row r="45" spans="1:12" ht="15" customHeight="1">
      <c r="A45" s="57"/>
      <c r="B45" s="66" t="s">
        <v>114</v>
      </c>
      <c r="C45" s="96" t="s">
        <v>555</v>
      </c>
      <c r="D45" s="96"/>
      <c r="E45" s="96"/>
      <c r="F45" s="96"/>
      <c r="G45" s="96"/>
      <c r="H45" s="94"/>
      <c r="I45" s="360" t="s">
        <v>96</v>
      </c>
      <c r="J45" s="93"/>
      <c r="K45" s="361">
        <f>IF(DATA!$Q$74=3,IF(('Salary Details'!N23+DATA!AW21)&lt;=50000,('Salary Details'!N23+DATA!AW21),50000),"")</f>
      </c>
      <c r="L45" s="658"/>
    </row>
    <row r="46" spans="1:12" ht="15.75">
      <c r="A46" s="57"/>
      <c r="B46" s="631" t="s">
        <v>112</v>
      </c>
      <c r="C46" s="632"/>
      <c r="D46" s="632"/>
      <c r="E46" s="632"/>
      <c r="F46" s="632"/>
      <c r="G46" s="632"/>
      <c r="H46" s="632"/>
      <c r="I46" s="362" t="s">
        <v>96</v>
      </c>
      <c r="J46" s="363"/>
      <c r="K46" s="364">
        <f>SUM(K36:K45)</f>
        <v>1150</v>
      </c>
      <c r="L46" s="659"/>
    </row>
    <row r="47" spans="1:12" ht="15.75">
      <c r="A47" s="57">
        <v>13</v>
      </c>
      <c r="B47" s="628" t="str">
        <f>CONCATENATE("Net Total Income  (11-12) i.e ( Rs:",L34," - ",L35," = ",L47,")")</f>
        <v>Net Total Income  (11-12) i.e ( Rs:315078 - 1150 = 313928)</v>
      </c>
      <c r="C47" s="629"/>
      <c r="D47" s="629"/>
      <c r="E47" s="629"/>
      <c r="F47" s="629"/>
      <c r="G47" s="629"/>
      <c r="H47" s="629"/>
      <c r="I47" s="67" t="s">
        <v>96</v>
      </c>
      <c r="J47" s="68"/>
      <c r="K47" s="348"/>
      <c r="L47" s="365">
        <f>L34-L35</f>
        <v>313928</v>
      </c>
    </row>
    <row r="48" spans="1:12" ht="15.75">
      <c r="A48" s="57">
        <v>14</v>
      </c>
      <c r="B48" s="628" t="s">
        <v>327</v>
      </c>
      <c r="C48" s="629"/>
      <c r="D48" s="629"/>
      <c r="E48" s="629"/>
      <c r="F48" s="629"/>
      <c r="G48" s="629"/>
      <c r="H48" s="629"/>
      <c r="I48" s="67" t="s">
        <v>96</v>
      </c>
      <c r="J48" s="68"/>
      <c r="K48" s="348"/>
      <c r="L48" s="98">
        <f>ROUND(L47,-1)</f>
        <v>313930</v>
      </c>
    </row>
    <row r="49" spans="1:12" ht="15.75">
      <c r="A49" s="57">
        <v>15</v>
      </c>
      <c r="B49" s="85" t="str">
        <f>CONCATENATE("Tax on net total Income ( i.e Tax on Rs: ",DATA!V141,")")</f>
        <v>Tax on net total Income ( i.e Tax on Rs: 63930)</v>
      </c>
      <c r="C49" s="86"/>
      <c r="D49" s="86"/>
      <c r="E49" s="86"/>
      <c r="F49" s="86"/>
      <c r="G49" s="86"/>
      <c r="H49" s="60"/>
      <c r="I49" s="67"/>
      <c r="J49" s="68"/>
      <c r="K49" s="348"/>
      <c r="L49" s="99"/>
    </row>
    <row r="50" spans="1:12" ht="15" customHeight="1">
      <c r="A50" s="57"/>
      <c r="B50" s="66" t="s">
        <v>98</v>
      </c>
      <c r="C50" s="635" t="str">
        <f>DATA!S122</f>
        <v>Up to Rs. 2,50,000</v>
      </c>
      <c r="D50" s="635"/>
      <c r="E50" s="635"/>
      <c r="F50" s="635"/>
      <c r="G50" s="635"/>
      <c r="H50" s="636"/>
      <c r="I50" s="67" t="s">
        <v>96</v>
      </c>
      <c r="J50" s="68"/>
      <c r="K50" s="348"/>
      <c r="L50" s="100" t="s">
        <v>135</v>
      </c>
    </row>
    <row r="51" spans="1:12" ht="15" customHeight="1">
      <c r="A51" s="57"/>
      <c r="B51" s="66" t="s">
        <v>99</v>
      </c>
      <c r="C51" s="637" t="str">
        <f>DATA!S137</f>
        <v>Rs.2,50,001 To 5,00,000.    (@ 10%)( i.e 63930x10%)</v>
      </c>
      <c r="D51" s="637"/>
      <c r="E51" s="637"/>
      <c r="F51" s="637"/>
      <c r="G51" s="637"/>
      <c r="H51" s="638"/>
      <c r="I51" s="67" t="s">
        <v>96</v>
      </c>
      <c r="J51" s="68"/>
      <c r="K51" s="348"/>
      <c r="L51" s="99">
        <f>DATA!W137</f>
        <v>6393</v>
      </c>
    </row>
    <row r="52" spans="1:12" ht="15" customHeight="1">
      <c r="A52" s="57"/>
      <c r="B52" s="66" t="s">
        <v>100</v>
      </c>
      <c r="C52" s="668" t="str">
        <f>DATA!S138</f>
        <v>Rs.5,00,001 To10,00,000.   (@ 20%)</v>
      </c>
      <c r="D52" s="668"/>
      <c r="E52" s="668"/>
      <c r="F52" s="668"/>
      <c r="G52" s="668"/>
      <c r="H52" s="669"/>
      <c r="I52" s="67" t="s">
        <v>96</v>
      </c>
      <c r="J52" s="68"/>
      <c r="K52" s="348"/>
      <c r="L52" s="99">
        <f>DATA!W138</f>
        <v>0</v>
      </c>
    </row>
    <row r="53" spans="1:12" ht="15" customHeight="1">
      <c r="A53" s="57"/>
      <c r="B53" s="66" t="s">
        <v>107</v>
      </c>
      <c r="C53" s="670" t="str">
        <f>DATA!S139</f>
        <v>above Rs.10,00,001.          (@ 30%)</v>
      </c>
      <c r="D53" s="670"/>
      <c r="E53" s="670"/>
      <c r="F53" s="670"/>
      <c r="G53" s="670"/>
      <c r="H53" s="671"/>
      <c r="I53" s="67" t="s">
        <v>96</v>
      </c>
      <c r="J53" s="68"/>
      <c r="K53" s="348"/>
      <c r="L53" s="99">
        <f>DATA!W139</f>
        <v>0</v>
      </c>
    </row>
    <row r="54" spans="1:12" ht="15" customHeight="1">
      <c r="A54" s="57">
        <v>16</v>
      </c>
      <c r="B54" s="633" t="s">
        <v>608</v>
      </c>
      <c r="C54" s="634"/>
      <c r="D54" s="634"/>
      <c r="E54" s="634"/>
      <c r="F54" s="634"/>
      <c r="G54" s="634"/>
      <c r="H54" s="678"/>
      <c r="I54" s="67" t="str">
        <f>I53</f>
        <v>Rs.</v>
      </c>
      <c r="J54" s="68"/>
      <c r="K54" s="348"/>
      <c r="L54" s="99">
        <f>IF(IF(L48&lt;=200000,0,IF(AND(L48&gt;200000,L48&lt;=500000),L51+L52+L53-5000,IF(L48&gt;=500000,L51+L52+L53,L51+L52+L53)))&lt;=0,0,IF(L48&lt;=200000,0,IF(AND(L48&gt;200000,L48&lt;=500000),L51+L52+L53-5000,IF(L48&gt;=500000,L51+L52+L53,L51+L52+L53))))</f>
        <v>1393</v>
      </c>
    </row>
    <row r="55" spans="1:12" ht="15" customHeight="1">
      <c r="A55" s="57">
        <v>17</v>
      </c>
      <c r="B55" s="633" t="s">
        <v>116</v>
      </c>
      <c r="C55" s="634"/>
      <c r="D55" s="634"/>
      <c r="E55" s="634"/>
      <c r="F55" s="634"/>
      <c r="G55" s="634"/>
      <c r="H55" s="79"/>
      <c r="I55" s="67" t="s">
        <v>96</v>
      </c>
      <c r="J55" s="101"/>
      <c r="K55" s="350"/>
      <c r="L55" s="99">
        <f>ROUND(L54*1%,0)</f>
        <v>14</v>
      </c>
    </row>
    <row r="56" spans="1:12" ht="15" customHeight="1">
      <c r="A56" s="57">
        <v>18</v>
      </c>
      <c r="B56" s="633" t="s">
        <v>117</v>
      </c>
      <c r="C56" s="634"/>
      <c r="D56" s="634"/>
      <c r="E56" s="634"/>
      <c r="F56" s="634"/>
      <c r="G56" s="634"/>
      <c r="H56" s="79"/>
      <c r="I56" s="67" t="s">
        <v>96</v>
      </c>
      <c r="J56" s="101"/>
      <c r="K56" s="350"/>
      <c r="L56" s="99">
        <f>ROUND(L54*2%,0)</f>
        <v>28</v>
      </c>
    </row>
    <row r="57" spans="1:12" s="49" customFormat="1" ht="15.75">
      <c r="A57" s="1">
        <v>19</v>
      </c>
      <c r="B57" s="679" t="s">
        <v>331</v>
      </c>
      <c r="C57" s="680"/>
      <c r="D57" s="680"/>
      <c r="E57" s="680"/>
      <c r="F57" s="680"/>
      <c r="G57" s="680"/>
      <c r="H57" s="10"/>
      <c r="I57" s="4" t="s">
        <v>96</v>
      </c>
      <c r="J57" s="5"/>
      <c r="K57" s="351"/>
      <c r="L57" s="33">
        <f>IF(ISERROR(L54+L55+L56),"",L54+L55+L56)</f>
        <v>1435</v>
      </c>
    </row>
    <row r="58" spans="1:12" s="49" customFormat="1" ht="15.75">
      <c r="A58" s="1">
        <v>20</v>
      </c>
      <c r="B58" s="679" t="s">
        <v>118</v>
      </c>
      <c r="C58" s="680"/>
      <c r="D58" s="680"/>
      <c r="E58" s="680"/>
      <c r="F58" s="680"/>
      <c r="G58" s="680"/>
      <c r="H58" s="10"/>
      <c r="I58" s="4" t="s">
        <v>96</v>
      </c>
      <c r="J58" s="5"/>
      <c r="K58" s="351"/>
      <c r="L58" s="33"/>
    </row>
    <row r="59" spans="1:12" s="49" customFormat="1" ht="15.75">
      <c r="A59" s="1"/>
      <c r="B59" s="3" t="s">
        <v>98</v>
      </c>
      <c r="C59" s="9" t="s">
        <v>119</v>
      </c>
      <c r="D59" s="676">
        <v>42675</v>
      </c>
      <c r="E59" s="676"/>
      <c r="F59" s="11" t="s">
        <v>96</v>
      </c>
      <c r="G59" s="12">
        <f>SUM(DATA!AZ14:AZ18)</f>
        <v>0</v>
      </c>
      <c r="H59" s="8"/>
      <c r="I59" s="13"/>
      <c r="J59" s="2"/>
      <c r="K59" s="2"/>
      <c r="L59" s="34"/>
    </row>
    <row r="60" spans="1:12" s="49" customFormat="1" ht="15.75">
      <c r="A60" s="1"/>
      <c r="B60" s="3" t="s">
        <v>99</v>
      </c>
      <c r="C60" s="14"/>
      <c r="D60" s="676">
        <v>42705</v>
      </c>
      <c r="E60" s="676"/>
      <c r="F60" s="11" t="s">
        <v>96</v>
      </c>
      <c r="G60" s="12">
        <f>DATA!AZ19</f>
        <v>0</v>
      </c>
      <c r="H60" s="8"/>
      <c r="I60" s="13"/>
      <c r="J60" s="2"/>
      <c r="K60" s="2"/>
      <c r="L60" s="34"/>
    </row>
    <row r="61" spans="1:12" s="49" customFormat="1" ht="15.75">
      <c r="A61" s="1"/>
      <c r="B61" s="3" t="s">
        <v>100</v>
      </c>
      <c r="C61" s="14"/>
      <c r="D61" s="676">
        <v>42736</v>
      </c>
      <c r="E61" s="676"/>
      <c r="F61" s="11" t="s">
        <v>96</v>
      </c>
      <c r="G61" s="12">
        <f>DATA!AZ20</f>
        <v>0</v>
      </c>
      <c r="H61" s="8"/>
      <c r="I61" s="13"/>
      <c r="J61" s="2"/>
      <c r="K61" s="2"/>
      <c r="L61" s="34"/>
    </row>
    <row r="62" spans="1:12" s="49" customFormat="1" ht="15.75">
      <c r="A62" s="1"/>
      <c r="B62" s="3"/>
      <c r="C62" s="677" t="s">
        <v>120</v>
      </c>
      <c r="D62" s="677"/>
      <c r="E62" s="677"/>
      <c r="F62" s="677"/>
      <c r="G62" s="18">
        <f>SUM(G59:G61)</f>
        <v>0</v>
      </c>
      <c r="H62" s="8"/>
      <c r="I62" s="13"/>
      <c r="J62" s="2"/>
      <c r="K62" s="2"/>
      <c r="L62" s="34"/>
    </row>
    <row r="63" spans="1:12" s="49" customFormat="1" ht="15.75">
      <c r="A63" s="369">
        <v>21</v>
      </c>
      <c r="B63" s="672" t="s">
        <v>121</v>
      </c>
      <c r="C63" s="673"/>
      <c r="D63" s="673"/>
      <c r="E63" s="673"/>
      <c r="F63" s="673"/>
      <c r="G63" s="673"/>
      <c r="H63" s="15"/>
      <c r="I63" s="16" t="s">
        <v>96</v>
      </c>
      <c r="J63" s="17"/>
      <c r="K63" s="17"/>
      <c r="L63" s="392">
        <f>IF(ISERROR(L57-G62),"",L57-G62)</f>
        <v>1435</v>
      </c>
    </row>
    <row r="64" spans="1:12" s="49" customFormat="1" ht="11.25" customHeight="1">
      <c r="A64" s="102"/>
      <c r="B64" s="8"/>
      <c r="C64" s="8"/>
      <c r="D64" s="8"/>
      <c r="E64" s="8"/>
      <c r="F64" s="8"/>
      <c r="G64" s="8"/>
      <c r="H64" s="8"/>
      <c r="I64" s="2"/>
      <c r="J64" s="2"/>
      <c r="K64" s="2"/>
      <c r="L64" s="103"/>
    </row>
    <row r="65" spans="1:12" s="49" customFormat="1" ht="13.5" customHeight="1">
      <c r="A65" s="104"/>
      <c r="B65" s="7"/>
      <c r="C65" s="7"/>
      <c r="D65" s="7"/>
      <c r="E65" s="7"/>
      <c r="F65" s="7"/>
      <c r="G65" s="7"/>
      <c r="H65" s="8"/>
      <c r="I65" s="2"/>
      <c r="J65" s="2"/>
      <c r="K65" s="2"/>
      <c r="L65" s="103"/>
    </row>
    <row r="66" spans="1:12" s="49" customFormat="1" ht="15.75">
      <c r="A66" s="105"/>
      <c r="B66" s="10"/>
      <c r="C66" s="10"/>
      <c r="D66" s="10"/>
      <c r="E66" s="10"/>
      <c r="F66" s="10"/>
      <c r="G66" s="10"/>
      <c r="H66" s="8"/>
      <c r="I66" s="2"/>
      <c r="J66" s="2"/>
      <c r="K66" s="2"/>
      <c r="L66" s="106"/>
    </row>
    <row r="67" spans="1:12" s="49" customFormat="1" ht="15.75">
      <c r="A67" s="674" t="s">
        <v>122</v>
      </c>
      <c r="B67" s="675"/>
      <c r="C67" s="675"/>
      <c r="D67" s="675"/>
      <c r="E67" s="675"/>
      <c r="F67" s="675"/>
      <c r="G67" s="675"/>
      <c r="H67" s="626" t="s">
        <v>123</v>
      </c>
      <c r="I67" s="626"/>
      <c r="J67" s="626"/>
      <c r="K67" s="626"/>
      <c r="L67" s="627"/>
    </row>
    <row r="68" spans="1:12" s="49" customFormat="1" ht="8.25" customHeight="1">
      <c r="A68" s="105"/>
      <c r="B68" s="7"/>
      <c r="C68" s="7"/>
      <c r="D68" s="7"/>
      <c r="E68" s="7"/>
      <c r="F68" s="7"/>
      <c r="G68" s="7"/>
      <c r="H68" s="8"/>
      <c r="I68" s="2"/>
      <c r="J68" s="2"/>
      <c r="K68" s="2"/>
      <c r="L68" s="103"/>
    </row>
    <row r="69" spans="1:12" s="49" customFormat="1" ht="15.75" thickBot="1">
      <c r="A69" s="623" t="str">
        <f>DATA!D148</f>
        <v>Software developed by S.Seshadri,SA(MM),ZPHS-Thugundram,GD Nellore,Chittoor(Dist) Visit: www.apteacher.net</v>
      </c>
      <c r="B69" s="624"/>
      <c r="C69" s="624"/>
      <c r="D69" s="624"/>
      <c r="E69" s="624"/>
      <c r="F69" s="624"/>
      <c r="G69" s="624"/>
      <c r="H69" s="624"/>
      <c r="I69" s="624"/>
      <c r="J69" s="624"/>
      <c r="K69" s="624"/>
      <c r="L69" s="625"/>
    </row>
    <row r="70" spans="1:12" s="49" customFormat="1" ht="16.5" thickTop="1">
      <c r="A70" s="10"/>
      <c r="B70" s="14"/>
      <c r="C70" s="14"/>
      <c r="D70" s="14"/>
      <c r="E70" s="14"/>
      <c r="F70" s="14"/>
      <c r="G70" s="14"/>
      <c r="H70" s="14"/>
      <c r="I70" s="107"/>
      <c r="J70" s="107"/>
      <c r="K70" s="107"/>
      <c r="L70" s="108"/>
    </row>
    <row r="71" s="49" customFormat="1" ht="15"/>
    <row r="72" s="49" customFormat="1" ht="15"/>
    <row r="73" s="49" customFormat="1" ht="15"/>
    <row r="74" s="49" customFormat="1" ht="15"/>
  </sheetData>
  <sheetProtection password="92B2" sheet="1" selectLockedCells="1"/>
  <mergeCells count="61">
    <mergeCell ref="C62:F62"/>
    <mergeCell ref="B63:G63"/>
    <mergeCell ref="A67:G67"/>
    <mergeCell ref="H67:L67"/>
    <mergeCell ref="A69:L69"/>
    <mergeCell ref="B56:G56"/>
    <mergeCell ref="B57:G57"/>
    <mergeCell ref="B58:G58"/>
    <mergeCell ref="D59:E59"/>
    <mergeCell ref="D60:E60"/>
    <mergeCell ref="D61:E61"/>
    <mergeCell ref="C50:H50"/>
    <mergeCell ref="C51:H51"/>
    <mergeCell ref="C52:H52"/>
    <mergeCell ref="C53:H53"/>
    <mergeCell ref="B54:H54"/>
    <mergeCell ref="B55:G55"/>
    <mergeCell ref="C41:G41"/>
    <mergeCell ref="C42:G42"/>
    <mergeCell ref="C43:H43"/>
    <mergeCell ref="B46:H46"/>
    <mergeCell ref="B47:H47"/>
    <mergeCell ref="B48:H48"/>
    <mergeCell ref="C31:H31"/>
    <mergeCell ref="C32:G32"/>
    <mergeCell ref="B34:H34"/>
    <mergeCell ref="B35:H35"/>
    <mergeCell ref="L35:L46"/>
    <mergeCell ref="C36:G36"/>
    <mergeCell ref="C37:G37"/>
    <mergeCell ref="C38:G38"/>
    <mergeCell ref="C39:G39"/>
    <mergeCell ref="C40:G40"/>
    <mergeCell ref="B21:H21"/>
    <mergeCell ref="L21:L33"/>
    <mergeCell ref="C22:E22"/>
    <mergeCell ref="C23:D23"/>
    <mergeCell ref="C25:H25"/>
    <mergeCell ref="C26:H26"/>
    <mergeCell ref="C27:H27"/>
    <mergeCell ref="C28:H28"/>
    <mergeCell ref="C29:H29"/>
    <mergeCell ref="C30:H30"/>
    <mergeCell ref="B12:H12"/>
    <mergeCell ref="B13:H13"/>
    <mergeCell ref="C14:H14"/>
    <mergeCell ref="C16:G16"/>
    <mergeCell ref="B17:H17"/>
    <mergeCell ref="B20:H20"/>
    <mergeCell ref="B7:H7"/>
    <mergeCell ref="B8:H8"/>
    <mergeCell ref="L8:L11"/>
    <mergeCell ref="C9:H9"/>
    <mergeCell ref="C10:H10"/>
    <mergeCell ref="C11:H11"/>
    <mergeCell ref="A1:L1"/>
    <mergeCell ref="A2:L2"/>
    <mergeCell ref="A3:L3"/>
    <mergeCell ref="A4:L4"/>
    <mergeCell ref="B6:F6"/>
    <mergeCell ref="G6:I6"/>
  </mergeCells>
  <printOptions/>
  <pageMargins left="0.95" right="0.7" top="0.75" bottom="0.75" header="0.3" footer="0.3"/>
  <pageSetup fitToHeight="1" fitToWidth="1" horizontalDpi="600" verticalDpi="600" orientation="portrait" paperSize="9" scale="72" r:id="rId2"/>
  <headerFooter>
    <oddHeader>&amp;Rwww.apteacher.net</oddHeader>
  </headerFooter>
  <drawing r:id="rId1"/>
</worksheet>
</file>

<file path=xl/worksheets/sheet7.xml><?xml version="1.0" encoding="utf-8"?>
<worksheet xmlns="http://schemas.openxmlformats.org/spreadsheetml/2006/main" xmlns:r="http://schemas.openxmlformats.org/officeDocument/2006/relationships">
  <sheetPr codeName="Sheet4">
    <tabColor rgb="FF00B050"/>
  </sheetPr>
  <dimension ref="A1:M61"/>
  <sheetViews>
    <sheetView showGridLines="0" showRowColHeaders="0" zoomScalePageLayoutView="0" workbookViewId="0" topLeftCell="A1">
      <selection activeCell="A1" sqref="A1:M1"/>
    </sheetView>
  </sheetViews>
  <sheetFormatPr defaultColWidth="9.140625" defaultRowHeight="15"/>
  <cols>
    <col min="1" max="1" width="4.28125" style="48" customWidth="1"/>
    <col min="2" max="2" width="3.00390625" style="48" customWidth="1"/>
    <col min="3" max="3" width="15.7109375" style="48" customWidth="1"/>
    <col min="4" max="4" width="15.00390625" style="48" customWidth="1"/>
    <col min="5" max="5" width="2.8515625" style="48" customWidth="1"/>
    <col min="6" max="6" width="9.28125" style="48" customWidth="1"/>
    <col min="7" max="7" width="0.71875" style="48" customWidth="1"/>
    <col min="8" max="8" width="2.8515625" style="48" customWidth="1"/>
    <col min="9" max="9" width="10.00390625" style="48" customWidth="1"/>
    <col min="10" max="10" width="2.8515625" style="48" customWidth="1"/>
    <col min="11" max="11" width="10.00390625" style="48" customWidth="1"/>
    <col min="12" max="12" width="2.8515625" style="48" customWidth="1"/>
    <col min="13" max="13" width="10.7109375" style="48" customWidth="1"/>
    <col min="14" max="16384" width="9.140625" style="48" customWidth="1"/>
  </cols>
  <sheetData>
    <row r="1" spans="1:13" ht="21.75" thickTop="1">
      <c r="A1" s="745" t="s">
        <v>206</v>
      </c>
      <c r="B1" s="746"/>
      <c r="C1" s="746"/>
      <c r="D1" s="746"/>
      <c r="E1" s="746"/>
      <c r="F1" s="746"/>
      <c r="G1" s="746"/>
      <c r="H1" s="746"/>
      <c r="I1" s="746"/>
      <c r="J1" s="746"/>
      <c r="K1" s="746"/>
      <c r="L1" s="746"/>
      <c r="M1" s="747"/>
    </row>
    <row r="2" spans="1:13" ht="15">
      <c r="A2" s="748" t="s">
        <v>144</v>
      </c>
      <c r="B2" s="749"/>
      <c r="C2" s="749"/>
      <c r="D2" s="749"/>
      <c r="E2" s="749"/>
      <c r="F2" s="749"/>
      <c r="G2" s="749"/>
      <c r="H2" s="749"/>
      <c r="I2" s="749"/>
      <c r="J2" s="749"/>
      <c r="K2" s="749"/>
      <c r="L2" s="749"/>
      <c r="M2" s="750"/>
    </row>
    <row r="3" spans="1:13" ht="13.5" customHeight="1">
      <c r="A3" s="748"/>
      <c r="B3" s="749"/>
      <c r="C3" s="749"/>
      <c r="D3" s="749"/>
      <c r="E3" s="749"/>
      <c r="F3" s="749"/>
      <c r="G3" s="749"/>
      <c r="H3" s="749"/>
      <c r="I3" s="749"/>
      <c r="J3" s="749"/>
      <c r="K3" s="749"/>
      <c r="L3" s="749"/>
      <c r="M3" s="750"/>
    </row>
    <row r="4" spans="1:13" ht="15">
      <c r="A4" s="751" t="s">
        <v>209</v>
      </c>
      <c r="B4" s="752"/>
      <c r="C4" s="752"/>
      <c r="D4" s="752"/>
      <c r="E4" s="752"/>
      <c r="F4" s="752"/>
      <c r="G4" s="752"/>
      <c r="H4" s="753" t="s">
        <v>145</v>
      </c>
      <c r="I4" s="752"/>
      <c r="J4" s="752"/>
      <c r="K4" s="752"/>
      <c r="L4" s="752"/>
      <c r="M4" s="754"/>
    </row>
    <row r="5" spans="1:13" ht="16.5">
      <c r="A5" s="755" t="str">
        <f>DATA!AP22</f>
        <v>M.Narottam Reddy</v>
      </c>
      <c r="B5" s="756"/>
      <c r="C5" s="756"/>
      <c r="D5" s="756"/>
      <c r="E5" s="756"/>
      <c r="F5" s="756"/>
      <c r="G5" s="756"/>
      <c r="H5" s="633" t="str">
        <f>DATA!AN3</f>
        <v>G Kishore</v>
      </c>
      <c r="I5" s="634"/>
      <c r="J5" s="634"/>
      <c r="K5" s="634"/>
      <c r="L5" s="634"/>
      <c r="M5" s="742"/>
    </row>
    <row r="6" spans="1:13" ht="15.75">
      <c r="A6" s="740" t="str">
        <f>DATA!AV22</f>
        <v>MEO,GD Nellore</v>
      </c>
      <c r="B6" s="741"/>
      <c r="C6" s="741"/>
      <c r="D6" s="741"/>
      <c r="E6" s="741"/>
      <c r="F6" s="741"/>
      <c r="G6" s="741"/>
      <c r="H6" s="633" t="str">
        <f>DATA!AX3</f>
        <v>SGT</v>
      </c>
      <c r="I6" s="634"/>
      <c r="J6" s="634"/>
      <c r="K6" s="634"/>
      <c r="L6" s="634"/>
      <c r="M6" s="742"/>
    </row>
    <row r="7" spans="1:13" ht="15.75">
      <c r="A7" s="743" t="str">
        <f>DATA!AT23</f>
        <v>G.D Nellore</v>
      </c>
      <c r="B7" s="744"/>
      <c r="C7" s="744"/>
      <c r="D7" s="744"/>
      <c r="E7" s="744"/>
      <c r="F7" s="744"/>
      <c r="G7" s="744"/>
      <c r="H7" s="633" t="str">
        <f>DATA!AM4</f>
        <v>MPPS Chenganapalle</v>
      </c>
      <c r="I7" s="634"/>
      <c r="J7" s="634"/>
      <c r="K7" s="634"/>
      <c r="L7" s="634"/>
      <c r="M7" s="742"/>
    </row>
    <row r="8" spans="1:13" ht="16.5" thickBot="1">
      <c r="A8" s="743"/>
      <c r="B8" s="744"/>
      <c r="C8" s="744"/>
      <c r="D8" s="744"/>
      <c r="E8" s="744"/>
      <c r="F8" s="744"/>
      <c r="G8" s="744"/>
      <c r="H8" s="633" t="str">
        <f>DATA!AT4</f>
        <v>Irala</v>
      </c>
      <c r="I8" s="634"/>
      <c r="J8" s="634"/>
      <c r="K8" s="634"/>
      <c r="L8" s="634"/>
      <c r="M8" s="742"/>
    </row>
    <row r="9" spans="1:13" ht="15.75" thickBot="1">
      <c r="A9" s="726" t="s">
        <v>146</v>
      </c>
      <c r="B9" s="727"/>
      <c r="C9" s="728"/>
      <c r="D9" s="729" t="str">
        <f>DATA!AL22</f>
        <v>ABC XYZ</v>
      </c>
      <c r="E9" s="727"/>
      <c r="F9" s="728"/>
      <c r="G9" s="51"/>
      <c r="H9" s="730" t="s">
        <v>147</v>
      </c>
      <c r="I9" s="731"/>
      <c r="J9" s="732"/>
      <c r="K9" s="729">
        <f>IF(DATA!AY8="","",DATA!AY8)</f>
      </c>
      <c r="L9" s="727"/>
      <c r="M9" s="733"/>
    </row>
    <row r="10" spans="1:13" ht="22.5" customHeight="1">
      <c r="A10" s="734" t="s">
        <v>148</v>
      </c>
      <c r="B10" s="735"/>
      <c r="C10" s="735"/>
      <c r="D10" s="735"/>
      <c r="E10" s="735"/>
      <c r="F10" s="735"/>
      <c r="G10" s="736"/>
      <c r="H10" s="735"/>
      <c r="I10" s="735"/>
      <c r="J10" s="735"/>
      <c r="K10" s="735"/>
      <c r="L10" s="735"/>
      <c r="M10" s="737"/>
    </row>
    <row r="11" spans="1:13" ht="15">
      <c r="A11" s="711" t="s">
        <v>149</v>
      </c>
      <c r="B11" s="712"/>
      <c r="C11" s="712"/>
      <c r="D11" s="712" t="s">
        <v>150</v>
      </c>
      <c r="E11" s="712"/>
      <c r="F11" s="712"/>
      <c r="G11" s="712"/>
      <c r="H11" s="712" t="s">
        <v>151</v>
      </c>
      <c r="I11" s="712"/>
      <c r="J11" s="712"/>
      <c r="K11" s="713"/>
      <c r="L11" s="738" t="s">
        <v>152</v>
      </c>
      <c r="M11" s="739"/>
    </row>
    <row r="12" spans="1:13" ht="15">
      <c r="A12" s="711">
        <v>1</v>
      </c>
      <c r="B12" s="712"/>
      <c r="C12" s="712"/>
      <c r="D12" s="712"/>
      <c r="E12" s="712"/>
      <c r="F12" s="712"/>
      <c r="G12" s="712"/>
      <c r="H12" s="712" t="s">
        <v>153</v>
      </c>
      <c r="I12" s="712"/>
      <c r="J12" s="712" t="s">
        <v>154</v>
      </c>
      <c r="K12" s="713"/>
      <c r="L12" s="713" t="s">
        <v>155</v>
      </c>
      <c r="M12" s="714"/>
    </row>
    <row r="13" spans="1:13" ht="15">
      <c r="A13" s="703">
        <v>2</v>
      </c>
      <c r="B13" s="704"/>
      <c r="C13" s="704"/>
      <c r="D13" s="704"/>
      <c r="E13" s="704"/>
      <c r="F13" s="704"/>
      <c r="G13" s="704"/>
      <c r="H13" s="715">
        <v>42430</v>
      </c>
      <c r="I13" s="716"/>
      <c r="J13" s="715">
        <v>42767</v>
      </c>
      <c r="K13" s="721"/>
      <c r="L13" s="718" t="s">
        <v>594</v>
      </c>
      <c r="M13" s="724"/>
    </row>
    <row r="14" spans="1:13" ht="15">
      <c r="A14" s="703">
        <v>3</v>
      </c>
      <c r="B14" s="704"/>
      <c r="C14" s="704"/>
      <c r="D14" s="704"/>
      <c r="E14" s="704"/>
      <c r="F14" s="704"/>
      <c r="G14" s="704"/>
      <c r="H14" s="717"/>
      <c r="I14" s="718"/>
      <c r="J14" s="717"/>
      <c r="K14" s="722"/>
      <c r="L14" s="718"/>
      <c r="M14" s="724"/>
    </row>
    <row r="15" spans="1:13" ht="15">
      <c r="A15" s="703">
        <v>4</v>
      </c>
      <c r="B15" s="704"/>
      <c r="C15" s="704"/>
      <c r="D15" s="704"/>
      <c r="E15" s="704"/>
      <c r="F15" s="704"/>
      <c r="G15" s="704"/>
      <c r="H15" s="719"/>
      <c r="I15" s="720"/>
      <c r="J15" s="719"/>
      <c r="K15" s="723"/>
      <c r="L15" s="720"/>
      <c r="M15" s="725"/>
    </row>
    <row r="16" spans="1:13" ht="16.5">
      <c r="A16" s="705" t="s">
        <v>156</v>
      </c>
      <c r="B16" s="706"/>
      <c r="C16" s="706"/>
      <c r="D16" s="706"/>
      <c r="E16" s="706"/>
      <c r="F16" s="706"/>
      <c r="G16" s="706"/>
      <c r="H16" s="706"/>
      <c r="I16" s="706"/>
      <c r="J16" s="706"/>
      <c r="K16" s="706"/>
      <c r="L16" s="706"/>
      <c r="M16" s="707"/>
    </row>
    <row r="17" spans="1:13" ht="6" customHeight="1">
      <c r="A17" s="708"/>
      <c r="B17" s="709"/>
      <c r="C17" s="709"/>
      <c r="D17" s="709"/>
      <c r="E17" s="709"/>
      <c r="F17" s="709"/>
      <c r="G17" s="709"/>
      <c r="H17" s="709"/>
      <c r="I17" s="709"/>
      <c r="J17" s="709"/>
      <c r="K17" s="709"/>
      <c r="L17" s="709"/>
      <c r="M17" s="710"/>
    </row>
    <row r="18" spans="1:13" ht="15">
      <c r="A18" s="225">
        <v>1</v>
      </c>
      <c r="B18" s="698" t="s">
        <v>157</v>
      </c>
      <c r="C18" s="699"/>
      <c r="D18" s="228"/>
      <c r="E18" s="228"/>
      <c r="F18" s="228"/>
      <c r="G18" s="228"/>
      <c r="H18" s="229" t="s">
        <v>96</v>
      </c>
      <c r="I18" s="230">
        <f>'Salary Details'!M23</f>
        <v>514575</v>
      </c>
      <c r="J18" s="231"/>
      <c r="K18" s="232"/>
      <c r="L18" s="231"/>
      <c r="M18" s="233"/>
    </row>
    <row r="19" spans="1:13" ht="15">
      <c r="A19" s="225"/>
      <c r="B19" s="234" t="s">
        <v>98</v>
      </c>
      <c r="C19" s="697" t="s">
        <v>158</v>
      </c>
      <c r="D19" s="697"/>
      <c r="E19" s="697"/>
      <c r="F19" s="697"/>
      <c r="G19" s="697"/>
      <c r="H19" s="236" t="s">
        <v>96</v>
      </c>
      <c r="I19" s="237">
        <v>0</v>
      </c>
      <c r="J19" s="231"/>
      <c r="K19" s="232"/>
      <c r="L19" s="231"/>
      <c r="M19" s="233"/>
    </row>
    <row r="20" spans="1:13" ht="15">
      <c r="A20" s="225"/>
      <c r="B20" s="234" t="s">
        <v>99</v>
      </c>
      <c r="C20" s="697" t="s">
        <v>159</v>
      </c>
      <c r="D20" s="697"/>
      <c r="E20" s="697"/>
      <c r="F20" s="697"/>
      <c r="G20" s="697"/>
      <c r="H20" s="236" t="s">
        <v>96</v>
      </c>
      <c r="I20" s="237">
        <v>0</v>
      </c>
      <c r="J20" s="231"/>
      <c r="K20" s="232"/>
      <c r="L20" s="231"/>
      <c r="M20" s="233"/>
    </row>
    <row r="21" spans="1:13" ht="15">
      <c r="A21" s="225"/>
      <c r="B21" s="234"/>
      <c r="C21" s="697" t="s">
        <v>160</v>
      </c>
      <c r="D21" s="697"/>
      <c r="E21" s="697"/>
      <c r="F21" s="697"/>
      <c r="G21" s="697"/>
      <c r="H21" s="238"/>
      <c r="I21" s="239"/>
      <c r="J21" s="231"/>
      <c r="K21" s="232"/>
      <c r="L21" s="231"/>
      <c r="M21" s="233"/>
    </row>
    <row r="22" spans="1:13" ht="15">
      <c r="A22" s="225"/>
      <c r="B22" s="234" t="s">
        <v>100</v>
      </c>
      <c r="C22" s="697" t="s">
        <v>161</v>
      </c>
      <c r="D22" s="697"/>
      <c r="E22" s="697"/>
      <c r="F22" s="697"/>
      <c r="G22" s="697"/>
      <c r="H22" s="229" t="s">
        <v>96</v>
      </c>
      <c r="I22" s="240">
        <v>0</v>
      </c>
      <c r="J22" s="231"/>
      <c r="K22" s="232"/>
      <c r="L22" s="231"/>
      <c r="M22" s="233"/>
    </row>
    <row r="23" spans="1:13" ht="15">
      <c r="A23" s="225"/>
      <c r="B23" s="234"/>
      <c r="C23" s="697" t="s">
        <v>162</v>
      </c>
      <c r="D23" s="697"/>
      <c r="E23" s="697"/>
      <c r="F23" s="697"/>
      <c r="G23" s="697"/>
      <c r="H23" s="241"/>
      <c r="I23" s="242"/>
      <c r="J23" s="231"/>
      <c r="K23" s="232"/>
      <c r="L23" s="231"/>
      <c r="M23" s="233"/>
    </row>
    <row r="24" spans="1:13" ht="15">
      <c r="A24" s="225"/>
      <c r="B24" s="234" t="s">
        <v>107</v>
      </c>
      <c r="C24" s="243" t="s">
        <v>163</v>
      </c>
      <c r="D24" s="228"/>
      <c r="E24" s="228"/>
      <c r="F24" s="228"/>
      <c r="G24" s="228"/>
      <c r="H24" s="244" t="s">
        <v>96</v>
      </c>
      <c r="I24" s="245">
        <f>I18</f>
        <v>514575</v>
      </c>
      <c r="J24" s="231"/>
      <c r="K24" s="232"/>
      <c r="L24" s="231" t="s">
        <v>96</v>
      </c>
      <c r="M24" s="246">
        <f>I24</f>
        <v>514575</v>
      </c>
    </row>
    <row r="25" spans="1:13" ht="15">
      <c r="A25" s="225">
        <v>2</v>
      </c>
      <c r="B25" s="696" t="s">
        <v>164</v>
      </c>
      <c r="C25" s="697"/>
      <c r="D25" s="697"/>
      <c r="E25" s="697"/>
      <c r="F25" s="697"/>
      <c r="G25" s="697"/>
      <c r="H25" s="244"/>
      <c r="I25" s="247"/>
      <c r="J25" s="248"/>
      <c r="K25" s="232"/>
      <c r="L25" s="231"/>
      <c r="M25" s="233"/>
    </row>
    <row r="26" spans="1:13" ht="15">
      <c r="A26" s="225"/>
      <c r="B26" s="234" t="s">
        <v>98</v>
      </c>
      <c r="C26" s="235" t="s">
        <v>165</v>
      </c>
      <c r="D26" s="235"/>
      <c r="E26" s="249"/>
      <c r="F26" s="249"/>
      <c r="G26" s="250"/>
      <c r="H26" s="251" t="s">
        <v>96</v>
      </c>
      <c r="I26" s="252">
        <f>'Income Tax Form'!L8</f>
        <v>47097</v>
      </c>
      <c r="J26" s="248"/>
      <c r="K26" s="232"/>
      <c r="L26" s="231"/>
      <c r="M26" s="233"/>
    </row>
    <row r="27" spans="1:13" ht="15">
      <c r="A27" s="225"/>
      <c r="B27" s="234" t="s">
        <v>99</v>
      </c>
      <c r="C27" s="697" t="s">
        <v>166</v>
      </c>
      <c r="D27" s="697"/>
      <c r="E27" s="235"/>
      <c r="F27" s="249"/>
      <c r="G27" s="250"/>
      <c r="H27" s="251" t="s">
        <v>96</v>
      </c>
      <c r="I27" s="253">
        <v>0</v>
      </c>
      <c r="J27" s="248"/>
      <c r="K27" s="232"/>
      <c r="L27" s="254" t="s">
        <v>96</v>
      </c>
      <c r="M27" s="97">
        <f>I26+I27</f>
        <v>47097</v>
      </c>
    </row>
    <row r="28" spans="1:13" ht="15">
      <c r="A28" s="225">
        <v>3</v>
      </c>
      <c r="B28" s="698" t="s">
        <v>167</v>
      </c>
      <c r="C28" s="699"/>
      <c r="D28" s="699"/>
      <c r="E28" s="699"/>
      <c r="F28" s="699"/>
      <c r="G28" s="702"/>
      <c r="H28" s="228"/>
      <c r="I28" s="247"/>
      <c r="J28" s="248"/>
      <c r="K28" s="232"/>
      <c r="L28" s="231" t="s">
        <v>96</v>
      </c>
      <c r="M28" s="246">
        <f>M24-M27</f>
        <v>467478</v>
      </c>
    </row>
    <row r="29" spans="1:13" ht="15">
      <c r="A29" s="225">
        <v>4</v>
      </c>
      <c r="B29" s="698" t="s">
        <v>106</v>
      </c>
      <c r="C29" s="699"/>
      <c r="D29" s="699"/>
      <c r="E29" s="699"/>
      <c r="F29" s="699"/>
      <c r="G29" s="702"/>
      <c r="H29" s="228"/>
      <c r="I29" s="247"/>
      <c r="J29" s="248"/>
      <c r="K29" s="232"/>
      <c r="L29" s="231"/>
      <c r="M29" s="233"/>
    </row>
    <row r="30" spans="1:13" ht="15">
      <c r="A30" s="225"/>
      <c r="B30" s="234" t="s">
        <v>98</v>
      </c>
      <c r="C30" s="235" t="s">
        <v>168</v>
      </c>
      <c r="D30" s="235"/>
      <c r="E30" s="249"/>
      <c r="F30" s="249"/>
      <c r="G30" s="255"/>
      <c r="H30" s="251" t="s">
        <v>96</v>
      </c>
      <c r="I30" s="253">
        <v>0</v>
      </c>
      <c r="J30" s="248"/>
      <c r="K30" s="232"/>
      <c r="L30" s="231"/>
      <c r="M30" s="233"/>
    </row>
    <row r="31" spans="1:13" ht="15">
      <c r="A31" s="225"/>
      <c r="B31" s="234" t="s">
        <v>99</v>
      </c>
      <c r="C31" s="235" t="s">
        <v>169</v>
      </c>
      <c r="D31" s="235"/>
      <c r="E31" s="228"/>
      <c r="F31" s="249"/>
      <c r="G31" s="255"/>
      <c r="H31" s="251" t="s">
        <v>96</v>
      </c>
      <c r="I31" s="252">
        <f>'Salary Details'!Q23</f>
        <v>2400</v>
      </c>
      <c r="J31" s="248"/>
      <c r="K31" s="232"/>
      <c r="L31" s="231"/>
      <c r="M31" s="233"/>
    </row>
    <row r="32" spans="1:13" ht="15">
      <c r="A32" s="225">
        <v>5</v>
      </c>
      <c r="B32" s="698" t="s">
        <v>170</v>
      </c>
      <c r="C32" s="699"/>
      <c r="D32" s="699"/>
      <c r="E32" s="699"/>
      <c r="F32" s="699"/>
      <c r="G32" s="699"/>
      <c r="H32" s="244"/>
      <c r="I32" s="256"/>
      <c r="J32" s="231"/>
      <c r="K32" s="232"/>
      <c r="L32" s="254" t="s">
        <v>96</v>
      </c>
      <c r="M32" s="97">
        <f>I31</f>
        <v>2400</v>
      </c>
    </row>
    <row r="33" spans="1:13" ht="15">
      <c r="A33" s="225">
        <v>6</v>
      </c>
      <c r="B33" s="696" t="s">
        <v>171</v>
      </c>
      <c r="C33" s="697"/>
      <c r="D33" s="697"/>
      <c r="E33" s="697"/>
      <c r="F33" s="697"/>
      <c r="G33" s="697"/>
      <c r="H33" s="244"/>
      <c r="I33" s="256"/>
      <c r="J33" s="231"/>
      <c r="K33" s="232"/>
      <c r="L33" s="257" t="s">
        <v>96</v>
      </c>
      <c r="M33" s="258">
        <f>M28-M32</f>
        <v>465078</v>
      </c>
    </row>
    <row r="34" spans="1:13" ht="15">
      <c r="A34" s="225">
        <v>7</v>
      </c>
      <c r="B34" s="696" t="s">
        <v>172</v>
      </c>
      <c r="C34" s="697"/>
      <c r="D34" s="697"/>
      <c r="E34" s="697"/>
      <c r="F34" s="697"/>
      <c r="G34" s="697"/>
      <c r="H34" s="244"/>
      <c r="I34" s="256"/>
      <c r="J34" s="231"/>
      <c r="K34" s="232"/>
      <c r="L34" s="259" t="s">
        <v>96</v>
      </c>
      <c r="M34" s="260">
        <v>0</v>
      </c>
    </row>
    <row r="35" spans="1:13" ht="15">
      <c r="A35" s="225"/>
      <c r="B35" s="696" t="s">
        <v>173</v>
      </c>
      <c r="C35" s="697"/>
      <c r="D35" s="697"/>
      <c r="E35" s="697"/>
      <c r="F35" s="697"/>
      <c r="G35" s="697"/>
      <c r="H35" s="244"/>
      <c r="I35" s="256"/>
      <c r="J35" s="231"/>
      <c r="K35" s="232"/>
      <c r="L35" s="259" t="s">
        <v>96</v>
      </c>
      <c r="M35" s="260">
        <v>0</v>
      </c>
    </row>
    <row r="36" spans="1:13" ht="15">
      <c r="A36" s="225"/>
      <c r="B36" s="696" t="s">
        <v>174</v>
      </c>
      <c r="C36" s="697"/>
      <c r="D36" s="697"/>
      <c r="E36" s="697"/>
      <c r="F36" s="697"/>
      <c r="G36" s="697"/>
      <c r="H36" s="244"/>
      <c r="I36" s="256"/>
      <c r="J36" s="231"/>
      <c r="K36" s="232"/>
      <c r="L36" s="261" t="s">
        <v>96</v>
      </c>
      <c r="M36" s="262">
        <f>'Income Tax Form'!K19</f>
        <v>0</v>
      </c>
    </row>
    <row r="37" spans="1:13" ht="16.5">
      <c r="A37" s="225">
        <v>8</v>
      </c>
      <c r="B37" s="698" t="s">
        <v>175</v>
      </c>
      <c r="C37" s="699"/>
      <c r="D37" s="699"/>
      <c r="E37" s="263"/>
      <c r="F37" s="263"/>
      <c r="G37" s="228"/>
      <c r="H37" s="244"/>
      <c r="I37" s="256"/>
      <c r="J37" s="231"/>
      <c r="K37" s="232"/>
      <c r="L37" s="231" t="s">
        <v>96</v>
      </c>
      <c r="M37" s="246">
        <f>'Income Tax Form'!L20</f>
        <v>465078</v>
      </c>
    </row>
    <row r="38" spans="1:13" ht="15">
      <c r="A38" s="225">
        <v>9</v>
      </c>
      <c r="B38" s="698" t="s">
        <v>176</v>
      </c>
      <c r="C38" s="699"/>
      <c r="D38" s="699"/>
      <c r="E38" s="699"/>
      <c r="F38" s="699"/>
      <c r="G38" s="228"/>
      <c r="H38" s="244"/>
      <c r="I38" s="264"/>
      <c r="J38" s="231"/>
      <c r="K38" s="232"/>
      <c r="L38" s="231"/>
      <c r="M38" s="233"/>
    </row>
    <row r="39" spans="1:13" ht="15">
      <c r="A39" s="265" t="s">
        <v>177</v>
      </c>
      <c r="B39" s="698" t="s">
        <v>178</v>
      </c>
      <c r="C39" s="699"/>
      <c r="D39" s="699"/>
      <c r="E39" s="227"/>
      <c r="F39" s="266" t="s">
        <v>179</v>
      </c>
      <c r="G39" s="235"/>
      <c r="H39" s="700" t="s">
        <v>180</v>
      </c>
      <c r="I39" s="701"/>
      <c r="J39" s="700" t="s">
        <v>181</v>
      </c>
      <c r="K39" s="701"/>
      <c r="L39" s="228"/>
      <c r="M39" s="233"/>
    </row>
    <row r="40" spans="1:13" ht="15">
      <c r="A40" s="225"/>
      <c r="B40" s="226" t="s">
        <v>98</v>
      </c>
      <c r="C40" s="227" t="s">
        <v>182</v>
      </c>
      <c r="D40" s="267"/>
      <c r="E40" s="267"/>
      <c r="F40" s="266" t="s">
        <v>183</v>
      </c>
      <c r="G40" s="235"/>
      <c r="H40" s="234"/>
      <c r="I40" s="250" t="s">
        <v>183</v>
      </c>
      <c r="J40" s="235"/>
      <c r="K40" s="250" t="s">
        <v>183</v>
      </c>
      <c r="L40" s="228"/>
      <c r="M40" s="233"/>
    </row>
    <row r="41" spans="1:13" ht="15">
      <c r="A41" s="225"/>
      <c r="B41" s="268" t="s">
        <v>184</v>
      </c>
      <c r="C41" s="231" t="s">
        <v>185</v>
      </c>
      <c r="D41" s="231"/>
      <c r="E41" s="269" t="s">
        <v>96</v>
      </c>
      <c r="F41" s="253">
        <f>'Income Tax Form'!K22</f>
        <v>161200</v>
      </c>
      <c r="G41" s="269"/>
      <c r="H41" s="259" t="s">
        <v>96</v>
      </c>
      <c r="I41" s="237">
        <f>F41</f>
        <v>161200</v>
      </c>
      <c r="J41" s="269" t="s">
        <v>96</v>
      </c>
      <c r="K41" s="237">
        <f>I41</f>
        <v>161200</v>
      </c>
      <c r="L41" s="231"/>
      <c r="M41" s="233"/>
    </row>
    <row r="42" spans="1:13" ht="15">
      <c r="A42" s="225"/>
      <c r="B42" s="268" t="s">
        <v>186</v>
      </c>
      <c r="C42" s="231" t="s">
        <v>187</v>
      </c>
      <c r="D42" s="231"/>
      <c r="E42" s="269" t="s">
        <v>96</v>
      </c>
      <c r="F42" s="253">
        <f>'Income Tax Form'!K23</f>
        <v>5400</v>
      </c>
      <c r="G42" s="269"/>
      <c r="H42" s="259" t="s">
        <v>96</v>
      </c>
      <c r="I42" s="237">
        <f aca="true" t="shared" si="0" ref="I42:I51">F42</f>
        <v>5400</v>
      </c>
      <c r="J42" s="269" t="s">
        <v>96</v>
      </c>
      <c r="K42" s="237">
        <f aca="true" t="shared" si="1" ref="K42:K51">I42</f>
        <v>5400</v>
      </c>
      <c r="L42" s="231"/>
      <c r="M42" s="233"/>
    </row>
    <row r="43" spans="1:13" ht="15">
      <c r="A43" s="225"/>
      <c r="B43" s="268" t="s">
        <v>188</v>
      </c>
      <c r="C43" s="231" t="s">
        <v>189</v>
      </c>
      <c r="D43" s="231"/>
      <c r="E43" s="269" t="s">
        <v>96</v>
      </c>
      <c r="F43" s="253">
        <f>'Income Tax Form'!K24</f>
        <v>720</v>
      </c>
      <c r="G43" s="269"/>
      <c r="H43" s="259" t="s">
        <v>96</v>
      </c>
      <c r="I43" s="237">
        <f t="shared" si="0"/>
        <v>720</v>
      </c>
      <c r="J43" s="269" t="s">
        <v>96</v>
      </c>
      <c r="K43" s="237">
        <f t="shared" si="1"/>
        <v>720</v>
      </c>
      <c r="L43" s="231"/>
      <c r="M43" s="233"/>
    </row>
    <row r="44" spans="1:13" ht="15">
      <c r="A44" s="225"/>
      <c r="B44" s="268" t="s">
        <v>190</v>
      </c>
      <c r="C44" s="688" t="str">
        <f>DATA!C101</f>
        <v>PLI Annual Premuim</v>
      </c>
      <c r="D44" s="688"/>
      <c r="E44" s="269" t="s">
        <v>96</v>
      </c>
      <c r="F44" s="253">
        <f>'Income Tax Form'!K25</f>
        <v>0</v>
      </c>
      <c r="G44" s="269"/>
      <c r="H44" s="259" t="s">
        <v>96</v>
      </c>
      <c r="I44" s="237">
        <f t="shared" si="0"/>
        <v>0</v>
      </c>
      <c r="J44" s="269" t="s">
        <v>96</v>
      </c>
      <c r="K44" s="237">
        <f t="shared" si="1"/>
        <v>0</v>
      </c>
      <c r="L44" s="231"/>
      <c r="M44" s="233"/>
    </row>
    <row r="45" spans="1:13" ht="15">
      <c r="A45" s="225"/>
      <c r="B45" s="268" t="s">
        <v>191</v>
      </c>
      <c r="C45" s="688" t="str">
        <f>DATA!C102</f>
        <v>Tution Fee for 2 Chidren</v>
      </c>
      <c r="D45" s="688"/>
      <c r="E45" s="269" t="s">
        <v>96</v>
      </c>
      <c r="F45" s="253">
        <f>'Income Tax Form'!K26</f>
        <v>0</v>
      </c>
      <c r="G45" s="269"/>
      <c r="H45" s="259" t="s">
        <v>96</v>
      </c>
      <c r="I45" s="237">
        <f t="shared" si="0"/>
        <v>0</v>
      </c>
      <c r="J45" s="269" t="s">
        <v>96</v>
      </c>
      <c r="K45" s="237">
        <f t="shared" si="1"/>
        <v>0</v>
      </c>
      <c r="L45" s="231"/>
      <c r="M45" s="233"/>
    </row>
    <row r="46" spans="1:13" ht="15">
      <c r="A46" s="225"/>
      <c r="B46" s="268" t="s">
        <v>192</v>
      </c>
      <c r="C46" s="231" t="str">
        <f>DATA!C103</f>
        <v>LIC Annual Premiums </v>
      </c>
      <c r="D46" s="231"/>
      <c r="E46" s="269" t="s">
        <v>96</v>
      </c>
      <c r="F46" s="253">
        <f>'Income Tax Form'!K27</f>
        <v>0</v>
      </c>
      <c r="G46" s="269"/>
      <c r="H46" s="259" t="s">
        <v>96</v>
      </c>
      <c r="I46" s="237">
        <f t="shared" si="0"/>
        <v>0</v>
      </c>
      <c r="J46" s="269" t="s">
        <v>96</v>
      </c>
      <c r="K46" s="237">
        <f t="shared" si="1"/>
        <v>0</v>
      </c>
      <c r="L46" s="231"/>
      <c r="M46" s="233"/>
    </row>
    <row r="47" spans="1:13" ht="15">
      <c r="A47" s="225"/>
      <c r="B47" s="268" t="s">
        <v>193</v>
      </c>
      <c r="C47" s="231" t="str">
        <f>DATA!C104</f>
        <v>Repayment of Home Loan Premium</v>
      </c>
      <c r="D47" s="231"/>
      <c r="E47" s="269" t="s">
        <v>96</v>
      </c>
      <c r="F47" s="253">
        <f>'Income Tax Form'!K28</f>
        <v>0</v>
      </c>
      <c r="G47" s="269"/>
      <c r="H47" s="259" t="s">
        <v>96</v>
      </c>
      <c r="I47" s="237">
        <f t="shared" si="0"/>
        <v>0</v>
      </c>
      <c r="J47" s="269" t="s">
        <v>96</v>
      </c>
      <c r="K47" s="237">
        <f t="shared" si="1"/>
        <v>0</v>
      </c>
      <c r="L47" s="231"/>
      <c r="M47" s="233"/>
    </row>
    <row r="48" spans="1:13" ht="15">
      <c r="A48" s="225"/>
      <c r="B48" s="268" t="s">
        <v>194</v>
      </c>
      <c r="C48" s="231" t="str">
        <f>DATA!C105</f>
        <v>5 Years Fixed Deposits </v>
      </c>
      <c r="D48" s="231"/>
      <c r="E48" s="269" t="s">
        <v>96</v>
      </c>
      <c r="F48" s="253">
        <f>'Income Tax Form'!K29</f>
        <v>0</v>
      </c>
      <c r="G48" s="269"/>
      <c r="H48" s="259" t="s">
        <v>96</v>
      </c>
      <c r="I48" s="237">
        <f t="shared" si="0"/>
        <v>0</v>
      </c>
      <c r="J48" s="269" t="s">
        <v>96</v>
      </c>
      <c r="K48" s="237">
        <f t="shared" si="1"/>
        <v>0</v>
      </c>
      <c r="L48" s="248"/>
      <c r="M48" s="233"/>
    </row>
    <row r="49" spans="1:13" ht="15">
      <c r="A49" s="225"/>
      <c r="B49" s="268" t="s">
        <v>195</v>
      </c>
      <c r="C49" s="231" t="str">
        <f>DATA!C106</f>
        <v>Repayment of Home Loan Premium</v>
      </c>
      <c r="D49" s="231"/>
      <c r="E49" s="270" t="s">
        <v>96</v>
      </c>
      <c r="F49" s="253">
        <f>'Income Tax Form'!K30</f>
        <v>0</v>
      </c>
      <c r="G49" s="271"/>
      <c r="H49" s="272" t="s">
        <v>96</v>
      </c>
      <c r="I49" s="237">
        <f t="shared" si="0"/>
        <v>0</v>
      </c>
      <c r="J49" s="270" t="s">
        <v>96</v>
      </c>
      <c r="K49" s="237">
        <f t="shared" si="1"/>
        <v>0</v>
      </c>
      <c r="L49" s="248"/>
      <c r="M49" s="233"/>
    </row>
    <row r="50" spans="1:13" ht="15">
      <c r="A50" s="225"/>
      <c r="B50" s="268" t="s">
        <v>196</v>
      </c>
      <c r="C50" s="231" t="str">
        <f>DATA!C107</f>
        <v>Others U/s 80 C</v>
      </c>
      <c r="D50" s="231"/>
      <c r="E50" s="231" t="s">
        <v>96</v>
      </c>
      <c r="F50" s="253">
        <f>'Income Tax Form'!K31</f>
        <v>0</v>
      </c>
      <c r="G50" s="273"/>
      <c r="H50" s="248" t="s">
        <v>96</v>
      </c>
      <c r="I50" s="237">
        <f t="shared" si="0"/>
        <v>0</v>
      </c>
      <c r="J50" s="248" t="s">
        <v>96</v>
      </c>
      <c r="K50" s="237">
        <f t="shared" si="1"/>
        <v>0</v>
      </c>
      <c r="L50" s="248"/>
      <c r="M50" s="233"/>
    </row>
    <row r="51" spans="1:13" ht="15">
      <c r="A51" s="225"/>
      <c r="B51" s="268" t="s">
        <v>197</v>
      </c>
      <c r="C51" s="231" t="str">
        <f>'Income Tax Form'!C32:G32&amp;" EHF "</f>
        <v>Others if any EHF </v>
      </c>
      <c r="D51" s="231"/>
      <c r="E51" s="231" t="s">
        <v>96</v>
      </c>
      <c r="F51" s="253">
        <f>'Salary Details'!R23</f>
        <v>1080</v>
      </c>
      <c r="G51" s="231"/>
      <c r="H51" s="248" t="s">
        <v>96</v>
      </c>
      <c r="I51" s="237">
        <f t="shared" si="0"/>
        <v>1080</v>
      </c>
      <c r="J51" s="248" t="s">
        <v>96</v>
      </c>
      <c r="K51" s="237">
        <f t="shared" si="1"/>
        <v>1080</v>
      </c>
      <c r="L51" s="231"/>
      <c r="M51" s="233"/>
    </row>
    <row r="52" spans="1:13" ht="12.75" customHeight="1">
      <c r="A52" s="225"/>
      <c r="B52" s="248"/>
      <c r="C52" s="231"/>
      <c r="D52" s="231"/>
      <c r="E52" s="231"/>
      <c r="F52" s="247"/>
      <c r="G52" s="231"/>
      <c r="H52" s="685" t="s">
        <v>198</v>
      </c>
      <c r="I52" s="686"/>
      <c r="J52" s="686"/>
      <c r="K52" s="687"/>
      <c r="L52" s="274" t="s">
        <v>96</v>
      </c>
      <c r="M52" s="246">
        <f>'Income Tax Form'!L21</f>
        <v>150000</v>
      </c>
    </row>
    <row r="53" spans="1:13" ht="15">
      <c r="A53" s="225"/>
      <c r="B53" s="275" t="s">
        <v>99</v>
      </c>
      <c r="C53" s="276" t="s">
        <v>199</v>
      </c>
      <c r="D53" s="231"/>
      <c r="E53" s="231"/>
      <c r="F53" s="247"/>
      <c r="G53" s="231"/>
      <c r="H53" s="248"/>
      <c r="I53" s="277"/>
      <c r="J53" s="231"/>
      <c r="K53" s="277"/>
      <c r="L53" s="231"/>
      <c r="M53" s="233"/>
    </row>
    <row r="54" spans="1:13" ht="15">
      <c r="A54" s="225"/>
      <c r="B54" s="278" t="s">
        <v>184</v>
      </c>
      <c r="C54" s="688" t="s">
        <v>200</v>
      </c>
      <c r="D54" s="688"/>
      <c r="E54" s="269" t="s">
        <v>96</v>
      </c>
      <c r="F54" s="253"/>
      <c r="G54" s="269"/>
      <c r="H54" s="259" t="s">
        <v>96</v>
      </c>
      <c r="I54" s="237">
        <v>0</v>
      </c>
      <c r="J54" s="269" t="s">
        <v>96</v>
      </c>
      <c r="K54" s="237">
        <v>0</v>
      </c>
      <c r="L54" s="279" t="s">
        <v>96</v>
      </c>
      <c r="M54" s="80">
        <v>0</v>
      </c>
    </row>
    <row r="55" spans="1:13" ht="15">
      <c r="A55" s="225"/>
      <c r="B55" s="275" t="s">
        <v>100</v>
      </c>
      <c r="C55" s="276" t="s">
        <v>201</v>
      </c>
      <c r="D55" s="231"/>
      <c r="E55" s="231"/>
      <c r="F55" s="247"/>
      <c r="G55" s="231"/>
      <c r="H55" s="248"/>
      <c r="I55" s="256"/>
      <c r="J55" s="231"/>
      <c r="K55" s="256"/>
      <c r="L55" s="231"/>
      <c r="M55" s="233"/>
    </row>
    <row r="56" spans="1:13" ht="15">
      <c r="A56" s="225"/>
      <c r="B56" s="278" t="s">
        <v>184</v>
      </c>
      <c r="C56" s="688" t="s">
        <v>202</v>
      </c>
      <c r="D56" s="688"/>
      <c r="E56" s="269" t="s">
        <v>96</v>
      </c>
      <c r="F56" s="253">
        <v>0</v>
      </c>
      <c r="G56" s="269"/>
      <c r="H56" s="259" t="s">
        <v>96</v>
      </c>
      <c r="I56" s="237">
        <v>0</v>
      </c>
      <c r="J56" s="269" t="s">
        <v>96</v>
      </c>
      <c r="K56" s="237">
        <v>0</v>
      </c>
      <c r="L56" s="280" t="s">
        <v>96</v>
      </c>
      <c r="M56" s="95">
        <v>0</v>
      </c>
    </row>
    <row r="57" spans="1:13" ht="16.5">
      <c r="A57" s="225"/>
      <c r="B57" s="689" t="s">
        <v>207</v>
      </c>
      <c r="C57" s="690"/>
      <c r="D57" s="690"/>
      <c r="E57" s="690"/>
      <c r="F57" s="690"/>
      <c r="G57" s="690"/>
      <c r="H57" s="690"/>
      <c r="I57" s="690"/>
      <c r="J57" s="690"/>
      <c r="K57" s="691"/>
      <c r="L57" s="281" t="s">
        <v>96</v>
      </c>
      <c r="M57" s="282">
        <f>M52</f>
        <v>150000</v>
      </c>
    </row>
    <row r="58" spans="1:13" ht="11.25" customHeight="1">
      <c r="A58" s="283"/>
      <c r="B58" s="284"/>
      <c r="C58" s="285"/>
      <c r="D58" s="285"/>
      <c r="E58" s="285"/>
      <c r="F58" s="285"/>
      <c r="G58" s="286"/>
      <c r="H58" s="286"/>
      <c r="I58" s="286"/>
      <c r="J58" s="286"/>
      <c r="K58" s="287"/>
      <c r="L58" s="288"/>
      <c r="M58" s="289"/>
    </row>
    <row r="59" spans="1:13" s="49" customFormat="1" ht="15.75">
      <c r="A59" s="692" t="s">
        <v>203</v>
      </c>
      <c r="B59" s="693"/>
      <c r="C59" s="694" t="s">
        <v>204</v>
      </c>
      <c r="D59" s="694"/>
      <c r="E59" s="694"/>
      <c r="F59" s="694"/>
      <c r="G59" s="694"/>
      <c r="H59" s="694"/>
      <c r="I59" s="694"/>
      <c r="J59" s="694"/>
      <c r="K59" s="694"/>
      <c r="L59" s="694"/>
      <c r="M59" s="695"/>
    </row>
    <row r="60" spans="1:13" s="49" customFormat="1" ht="16.5" thickBot="1">
      <c r="A60" s="681"/>
      <c r="B60" s="682"/>
      <c r="C60" s="683" t="s">
        <v>205</v>
      </c>
      <c r="D60" s="683"/>
      <c r="E60" s="683"/>
      <c r="F60" s="683"/>
      <c r="G60" s="683"/>
      <c r="H60" s="683"/>
      <c r="I60" s="683"/>
      <c r="J60" s="683"/>
      <c r="K60" s="683"/>
      <c r="L60" s="683"/>
      <c r="M60" s="684"/>
    </row>
    <row r="61" s="49" customFormat="1" ht="15.75" thickTop="1">
      <c r="A61" s="49" t="s">
        <v>313</v>
      </c>
    </row>
  </sheetData>
  <sheetProtection password="92B2" sheet="1" selectLockedCells="1"/>
  <protectedRanges>
    <protectedRange sqref="A9:M60 A5:M8 A1:M4" name="Range1_3"/>
  </protectedRanges>
  <mergeCells count="67">
    <mergeCell ref="A1:M1"/>
    <mergeCell ref="A2:M3"/>
    <mergeCell ref="A4:G4"/>
    <mergeCell ref="H4:M4"/>
    <mergeCell ref="A5:G5"/>
    <mergeCell ref="H5:M5"/>
    <mergeCell ref="A6:G6"/>
    <mergeCell ref="H6:M6"/>
    <mergeCell ref="A7:G7"/>
    <mergeCell ref="H7:M7"/>
    <mergeCell ref="A8:G8"/>
    <mergeCell ref="H8:M8"/>
    <mergeCell ref="A9:C9"/>
    <mergeCell ref="D9:F9"/>
    <mergeCell ref="H9:J9"/>
    <mergeCell ref="K9:M9"/>
    <mergeCell ref="A10:M10"/>
    <mergeCell ref="A11:C11"/>
    <mergeCell ref="D11:G11"/>
    <mergeCell ref="H11:K11"/>
    <mergeCell ref="L11:M11"/>
    <mergeCell ref="A12:C12"/>
    <mergeCell ref="D12:G12"/>
    <mergeCell ref="H12:I12"/>
    <mergeCell ref="J12:K12"/>
    <mergeCell ref="L12:M12"/>
    <mergeCell ref="A13:C13"/>
    <mergeCell ref="D13:G13"/>
    <mergeCell ref="H13:I15"/>
    <mergeCell ref="J13:K15"/>
    <mergeCell ref="L13:M15"/>
    <mergeCell ref="A14:C14"/>
    <mergeCell ref="D14:G14"/>
    <mergeCell ref="A15:C15"/>
    <mergeCell ref="D15:G15"/>
    <mergeCell ref="A16:M16"/>
    <mergeCell ref="A17:M17"/>
    <mergeCell ref="B18:C18"/>
    <mergeCell ref="C19:G19"/>
    <mergeCell ref="C20:G20"/>
    <mergeCell ref="C21:G21"/>
    <mergeCell ref="C22:G22"/>
    <mergeCell ref="C23:G23"/>
    <mergeCell ref="H39:I39"/>
    <mergeCell ref="J39:K39"/>
    <mergeCell ref="B25:G25"/>
    <mergeCell ref="C27:D27"/>
    <mergeCell ref="B28:G28"/>
    <mergeCell ref="B29:G29"/>
    <mergeCell ref="B32:G32"/>
    <mergeCell ref="B33:G33"/>
    <mergeCell ref="B34:G34"/>
    <mergeCell ref="B35:G35"/>
    <mergeCell ref="B36:G36"/>
    <mergeCell ref="B37:D37"/>
    <mergeCell ref="B38:F38"/>
    <mergeCell ref="B39:D39"/>
    <mergeCell ref="C44:D44"/>
    <mergeCell ref="C45:D45"/>
    <mergeCell ref="A60:B60"/>
    <mergeCell ref="C60:M60"/>
    <mergeCell ref="H52:K52"/>
    <mergeCell ref="C54:D54"/>
    <mergeCell ref="C56:D56"/>
    <mergeCell ref="B57:K57"/>
    <mergeCell ref="A59:B59"/>
    <mergeCell ref="C59:M59"/>
  </mergeCells>
  <printOptions/>
  <pageMargins left="0.7" right="0.7" top="0.75" bottom="0.75" header="0.3" footer="0.3"/>
  <pageSetup horizontalDpi="600" verticalDpi="600" orientation="portrait" paperSize="5" r:id="rId2"/>
  <drawing r:id="rId1"/>
</worksheet>
</file>

<file path=xl/worksheets/sheet8.xml><?xml version="1.0" encoding="utf-8"?>
<worksheet xmlns="http://schemas.openxmlformats.org/spreadsheetml/2006/main" xmlns:r="http://schemas.openxmlformats.org/officeDocument/2006/relationships">
  <sheetPr codeName="Sheet5">
    <tabColor theme="9" tint="-0.4999699890613556"/>
    <pageSetUpPr fitToPage="1"/>
  </sheetPr>
  <dimension ref="A1:L62"/>
  <sheetViews>
    <sheetView showGridLines="0" showRowColHeaders="0" workbookViewId="0" topLeftCell="A1">
      <selection activeCell="A1" sqref="A1"/>
    </sheetView>
  </sheetViews>
  <sheetFormatPr defaultColWidth="9.140625" defaultRowHeight="15"/>
  <cols>
    <col min="1" max="1" width="3.57421875" style="48" customWidth="1"/>
    <col min="2" max="2" width="3.140625" style="48" customWidth="1"/>
    <col min="3" max="3" width="3.8515625" style="48" customWidth="1"/>
    <col min="4" max="4" width="9.8515625" style="48" customWidth="1"/>
    <col min="5" max="5" width="13.28125" style="48" customWidth="1"/>
    <col min="6" max="6" width="13.140625" style="48" customWidth="1"/>
    <col min="7" max="7" width="4.00390625" style="48" customWidth="1"/>
    <col min="8" max="8" width="13.57421875" style="48" customWidth="1"/>
    <col min="9" max="9" width="13.28125" style="48" customWidth="1"/>
    <col min="10" max="10" width="11.57421875" style="48" customWidth="1"/>
    <col min="11" max="11" width="2.8515625" style="48" customWidth="1"/>
    <col min="12" max="12" width="12.00390625" style="48" customWidth="1"/>
    <col min="13" max="16384" width="9.140625" style="48" customWidth="1"/>
  </cols>
  <sheetData>
    <row r="1" spans="1:12" ht="15.75" thickTop="1">
      <c r="A1" s="113"/>
      <c r="B1" s="795" t="s">
        <v>211</v>
      </c>
      <c r="C1" s="795"/>
      <c r="D1" s="795"/>
      <c r="E1" s="795"/>
      <c r="F1" s="795"/>
      <c r="G1" s="796" t="s">
        <v>179</v>
      </c>
      <c r="H1" s="796"/>
      <c r="I1" s="114" t="s">
        <v>180</v>
      </c>
      <c r="J1" s="114" t="s">
        <v>181</v>
      </c>
      <c r="K1" s="115"/>
      <c r="L1" s="116"/>
    </row>
    <row r="2" spans="1:12" ht="15">
      <c r="A2" s="117"/>
      <c r="B2" s="797" t="s">
        <v>212</v>
      </c>
      <c r="C2" s="797"/>
      <c r="D2" s="797"/>
      <c r="E2" s="797"/>
      <c r="F2" s="797"/>
      <c r="G2" s="798" t="s">
        <v>183</v>
      </c>
      <c r="H2" s="798"/>
      <c r="I2" s="118" t="s">
        <v>183</v>
      </c>
      <c r="J2" s="118" t="s">
        <v>183</v>
      </c>
      <c r="K2" s="119"/>
      <c r="L2" s="120"/>
    </row>
    <row r="3" spans="1:12" ht="16.5">
      <c r="A3" s="121"/>
      <c r="B3" s="792" t="str">
        <f>'Income Tax Form'!C36</f>
        <v>Medical Insurance Premium          Rs</v>
      </c>
      <c r="C3" s="793"/>
      <c r="D3" s="793"/>
      <c r="E3" s="793"/>
      <c r="F3" s="793"/>
      <c r="G3" s="122" t="s">
        <v>96</v>
      </c>
      <c r="H3" s="123">
        <f>'Income Tax Form'!K36</f>
        <v>0</v>
      </c>
      <c r="I3" s="124">
        <f>H3</f>
        <v>0</v>
      </c>
      <c r="J3" s="125">
        <f>I3</f>
        <v>0</v>
      </c>
      <c r="K3" s="119"/>
      <c r="L3" s="120"/>
    </row>
    <row r="4" spans="1:12" ht="16.5">
      <c r="A4" s="121"/>
      <c r="B4" s="792" t="str">
        <f>'Income Tax Form'!C37</f>
        <v>Expenditure on medical treatment    Rs</v>
      </c>
      <c r="C4" s="793"/>
      <c r="D4" s="793"/>
      <c r="E4" s="793"/>
      <c r="F4" s="793"/>
      <c r="G4" s="122" t="s">
        <v>96</v>
      </c>
      <c r="H4" s="123">
        <f>'Income Tax Form'!K37</f>
        <v>0</v>
      </c>
      <c r="I4" s="124">
        <f aca="true" t="shared" si="0" ref="I4:J10">H4</f>
        <v>0</v>
      </c>
      <c r="J4" s="125">
        <f t="shared" si="0"/>
        <v>0</v>
      </c>
      <c r="K4" s="119"/>
      <c r="L4" s="120"/>
    </row>
    <row r="5" spans="1:12" ht="16.5">
      <c r="A5" s="121"/>
      <c r="B5" s="792" t="str">
        <f>'Income Tax Form'!C38</f>
        <v>Donation of Charitable Institution       Rs</v>
      </c>
      <c r="C5" s="793"/>
      <c r="D5" s="793"/>
      <c r="E5" s="793"/>
      <c r="F5" s="793"/>
      <c r="G5" s="122" t="s">
        <v>96</v>
      </c>
      <c r="H5" s="123">
        <f>'Income Tax Form'!K38</f>
        <v>0</v>
      </c>
      <c r="I5" s="124">
        <f t="shared" si="0"/>
        <v>0</v>
      </c>
      <c r="J5" s="125">
        <f t="shared" si="0"/>
        <v>0</v>
      </c>
      <c r="K5" s="119"/>
      <c r="L5" s="120"/>
    </row>
    <row r="6" spans="1:12" ht="16.5">
      <c r="A6" s="121"/>
      <c r="B6" s="792" t="str">
        <f>'Income Tax Form'!C39</f>
        <v>Interest on Educational Loan         Rs</v>
      </c>
      <c r="C6" s="793"/>
      <c r="D6" s="793"/>
      <c r="E6" s="793"/>
      <c r="F6" s="793"/>
      <c r="G6" s="122" t="s">
        <v>96</v>
      </c>
      <c r="H6" s="123">
        <f>'Income Tax Form'!K39</f>
        <v>0</v>
      </c>
      <c r="I6" s="124">
        <f t="shared" si="0"/>
        <v>0</v>
      </c>
      <c r="J6" s="125">
        <f t="shared" si="0"/>
        <v>0</v>
      </c>
      <c r="K6" s="119"/>
      <c r="L6" s="120"/>
    </row>
    <row r="7" spans="1:12" ht="16.5">
      <c r="A7" s="121"/>
      <c r="B7" s="792" t="str">
        <f>'Income Tax Form'!C40</f>
        <v>Rajiv Gandhi Equity Savings Scheme
(RGESS)</v>
      </c>
      <c r="C7" s="793"/>
      <c r="D7" s="793"/>
      <c r="E7" s="793"/>
      <c r="F7" s="793"/>
      <c r="G7" s="122" t="s">
        <v>96</v>
      </c>
      <c r="H7" s="123">
        <f>'Income Tax Form'!K40</f>
        <v>0</v>
      </c>
      <c r="I7" s="124">
        <f t="shared" si="0"/>
        <v>0</v>
      </c>
      <c r="J7" s="125">
        <f t="shared" si="0"/>
        <v>0</v>
      </c>
      <c r="K7" s="119"/>
      <c r="L7" s="120"/>
    </row>
    <row r="8" spans="1:12" ht="16.5">
      <c r="A8" s="121"/>
      <c r="B8" s="792" t="str">
        <f>'Income Tax Form'!C41</f>
        <v>Medical treatment U/s                   Rs</v>
      </c>
      <c r="C8" s="793"/>
      <c r="D8" s="793"/>
      <c r="E8" s="793"/>
      <c r="F8" s="793"/>
      <c r="G8" s="122" t="s">
        <v>96</v>
      </c>
      <c r="H8" s="123">
        <f>'Income Tax Form'!K41</f>
        <v>0</v>
      </c>
      <c r="I8" s="124">
        <f t="shared" si="0"/>
        <v>0</v>
      </c>
      <c r="J8" s="125">
        <f t="shared" si="0"/>
        <v>0</v>
      </c>
      <c r="K8" s="119"/>
      <c r="L8" s="120"/>
    </row>
    <row r="9" spans="1:12" ht="16.5">
      <c r="A9" s="121"/>
      <c r="B9" s="792" t="str">
        <f>'Income Tax Form'!C42</f>
        <v>Maintaince and expenditure treatment for disabled dependent                       Rs</v>
      </c>
      <c r="C9" s="793"/>
      <c r="D9" s="793"/>
      <c r="E9" s="793"/>
      <c r="F9" s="793"/>
      <c r="G9" s="122" t="s">
        <v>96</v>
      </c>
      <c r="H9" s="123">
        <f>'Income Tax Form'!K42</f>
        <v>0</v>
      </c>
      <c r="I9" s="124">
        <f t="shared" si="0"/>
        <v>0</v>
      </c>
      <c r="J9" s="125">
        <f t="shared" si="0"/>
        <v>0</v>
      </c>
      <c r="K9" s="119"/>
      <c r="L9" s="120"/>
    </row>
    <row r="10" spans="1:12" ht="16.5">
      <c r="A10" s="121"/>
      <c r="B10" s="792" t="str">
        <f>'Income Tax Form'!C43</f>
        <v>E.W.F, S.W.F , CMRF &amp; EHF(80D)</v>
      </c>
      <c r="C10" s="793"/>
      <c r="D10" s="793"/>
      <c r="E10" s="793"/>
      <c r="F10" s="793"/>
      <c r="G10" s="122" t="s">
        <v>96</v>
      </c>
      <c r="H10" s="123">
        <f>'Income Tax Form'!K43</f>
        <v>1150</v>
      </c>
      <c r="I10" s="124">
        <f t="shared" si="0"/>
        <v>1150</v>
      </c>
      <c r="J10" s="125">
        <f t="shared" si="0"/>
        <v>1150</v>
      </c>
      <c r="K10" s="119"/>
      <c r="L10" s="120"/>
    </row>
    <row r="11" spans="1:12" ht="16.5">
      <c r="A11" s="121"/>
      <c r="B11" s="792" t="str">
        <f>'Income Tax Form'!C44</f>
        <v>Investment in long term infrastructure bonds Us 80CCF</v>
      </c>
      <c r="C11" s="793"/>
      <c r="D11" s="793"/>
      <c r="E11" s="793"/>
      <c r="F11" s="793"/>
      <c r="G11" s="126" t="s">
        <v>96</v>
      </c>
      <c r="H11" s="123">
        <f>'Income Tax Form'!L44</f>
        <v>0</v>
      </c>
      <c r="I11" s="123">
        <f>H11</f>
        <v>0</v>
      </c>
      <c r="J11" s="123">
        <f>I11</f>
        <v>0</v>
      </c>
      <c r="K11" s="119"/>
      <c r="L11" s="120"/>
    </row>
    <row r="12" spans="1:12" ht="16.5">
      <c r="A12" s="121"/>
      <c r="B12" s="794" t="s">
        <v>553</v>
      </c>
      <c r="C12" s="662"/>
      <c r="D12" s="662"/>
      <c r="E12" s="662"/>
      <c r="F12" s="662"/>
      <c r="G12" s="126" t="s">
        <v>96</v>
      </c>
      <c r="H12" s="123">
        <v>0</v>
      </c>
      <c r="I12" s="123">
        <v>0</v>
      </c>
      <c r="J12" s="123">
        <v>0</v>
      </c>
      <c r="K12" s="119"/>
      <c r="L12" s="120"/>
    </row>
    <row r="13" spans="1:12" ht="15">
      <c r="A13" s="117"/>
      <c r="B13" s="96"/>
      <c r="C13" s="96"/>
      <c r="D13" s="96"/>
      <c r="E13" s="96"/>
      <c r="F13" s="127" t="s">
        <v>213</v>
      </c>
      <c r="G13" s="127"/>
      <c r="H13" s="127"/>
      <c r="I13" s="128"/>
      <c r="J13" s="129"/>
      <c r="K13" s="130" t="s">
        <v>96</v>
      </c>
      <c r="L13" s="131">
        <f>SUM(J3:J12)</f>
        <v>1150</v>
      </c>
    </row>
    <row r="14" spans="1:12" ht="15.75">
      <c r="A14" s="117">
        <v>10</v>
      </c>
      <c r="B14" s="632" t="s">
        <v>214</v>
      </c>
      <c r="C14" s="632"/>
      <c r="D14" s="632"/>
      <c r="E14" s="632"/>
      <c r="F14" s="632"/>
      <c r="G14" s="632"/>
      <c r="H14" s="632"/>
      <c r="I14" s="132"/>
      <c r="J14" s="133"/>
      <c r="K14" s="134" t="s">
        <v>96</v>
      </c>
      <c r="L14" s="135">
        <f>L13+'Form-16(1)'!M57</f>
        <v>151150</v>
      </c>
    </row>
    <row r="15" spans="1:12" ht="15" hidden="1">
      <c r="A15" s="117"/>
      <c r="B15" s="119"/>
      <c r="C15" s="119"/>
      <c r="D15" s="119"/>
      <c r="E15" s="119"/>
      <c r="F15" s="119"/>
      <c r="G15" s="119"/>
      <c r="H15" s="119"/>
      <c r="I15" s="132"/>
      <c r="J15" s="133"/>
      <c r="K15" s="126"/>
      <c r="L15" s="136"/>
    </row>
    <row r="16" spans="1:12" ht="17.25" customHeight="1">
      <c r="A16" s="117">
        <v>11</v>
      </c>
      <c r="B16" s="632" t="s">
        <v>215</v>
      </c>
      <c r="C16" s="632"/>
      <c r="D16" s="632"/>
      <c r="E16" s="632"/>
      <c r="F16" s="632"/>
      <c r="G16" s="632"/>
      <c r="H16" s="632"/>
      <c r="I16" s="132"/>
      <c r="J16" s="133"/>
      <c r="K16" s="126" t="s">
        <v>96</v>
      </c>
      <c r="L16" s="137">
        <f>'Income Tax Form'!L47</f>
        <v>313928</v>
      </c>
    </row>
    <row r="17" spans="1:12" ht="17.25" customHeight="1">
      <c r="A17" s="117">
        <v>12</v>
      </c>
      <c r="B17" s="632" t="s">
        <v>216</v>
      </c>
      <c r="C17" s="632"/>
      <c r="D17" s="632"/>
      <c r="E17" s="632"/>
      <c r="F17" s="632"/>
      <c r="G17" s="632"/>
      <c r="H17" s="632"/>
      <c r="I17" s="132"/>
      <c r="J17" s="133"/>
      <c r="K17" s="138" t="s">
        <v>96</v>
      </c>
      <c r="L17" s="139">
        <f>'Income Tax Form'!L51+'Income Tax Form'!L52+'Income Tax Form'!L53</f>
        <v>6393</v>
      </c>
    </row>
    <row r="18" spans="1:12" ht="17.25" customHeight="1">
      <c r="A18" s="117">
        <v>13</v>
      </c>
      <c r="B18" s="324" t="s">
        <v>456</v>
      </c>
      <c r="C18" s="324"/>
      <c r="D18" s="324"/>
      <c r="E18" s="324"/>
      <c r="F18" s="324"/>
      <c r="G18" s="324"/>
      <c r="H18" s="324"/>
      <c r="I18" s="132"/>
      <c r="J18" s="133"/>
      <c r="K18" s="138" t="s">
        <v>96</v>
      </c>
      <c r="L18" s="139">
        <f>'Income Tax Form'!L54</f>
        <v>1393</v>
      </c>
    </row>
    <row r="19" spans="1:12" ht="17.25" customHeight="1">
      <c r="A19" s="117">
        <v>14</v>
      </c>
      <c r="B19" s="635" t="s">
        <v>217</v>
      </c>
      <c r="C19" s="635"/>
      <c r="D19" s="635"/>
      <c r="E19" s="635"/>
      <c r="F19" s="635"/>
      <c r="G19" s="635"/>
      <c r="H19" s="635"/>
      <c r="I19" s="132"/>
      <c r="J19" s="133"/>
      <c r="K19" s="138" t="s">
        <v>96</v>
      </c>
      <c r="L19" s="139">
        <f>'Income Tax Form'!L55</f>
        <v>14</v>
      </c>
    </row>
    <row r="20" spans="1:12" ht="17.25" customHeight="1">
      <c r="A20" s="117">
        <v>15</v>
      </c>
      <c r="B20" s="635" t="s">
        <v>218</v>
      </c>
      <c r="C20" s="635"/>
      <c r="D20" s="635"/>
      <c r="E20" s="635"/>
      <c r="F20" s="635"/>
      <c r="G20" s="635"/>
      <c r="H20" s="635"/>
      <c r="I20" s="132"/>
      <c r="J20" s="133"/>
      <c r="K20" s="138" t="s">
        <v>96</v>
      </c>
      <c r="L20" s="139">
        <f>'Income Tax Form'!L56</f>
        <v>28</v>
      </c>
    </row>
    <row r="21" spans="1:12" ht="15.75">
      <c r="A21" s="117">
        <v>16</v>
      </c>
      <c r="B21" s="632" t="s">
        <v>219</v>
      </c>
      <c r="C21" s="632"/>
      <c r="D21" s="632"/>
      <c r="E21" s="632"/>
      <c r="F21" s="632"/>
      <c r="G21" s="632"/>
      <c r="H21" s="632"/>
      <c r="I21" s="132"/>
      <c r="J21" s="133"/>
      <c r="K21" s="138" t="s">
        <v>96</v>
      </c>
      <c r="L21" s="33">
        <f>IF(ISERROR(L18+L19+L20),"",L18+L19+L20)</f>
        <v>1435</v>
      </c>
    </row>
    <row r="22" spans="1:12" ht="15.75" hidden="1">
      <c r="A22" s="117">
        <v>17</v>
      </c>
      <c r="B22" s="631" t="s">
        <v>330</v>
      </c>
      <c r="C22" s="632"/>
      <c r="D22" s="632"/>
      <c r="E22" s="632"/>
      <c r="F22" s="632"/>
      <c r="G22" s="632"/>
      <c r="H22" s="791"/>
      <c r="I22" s="132"/>
      <c r="J22" s="133"/>
      <c r="K22" s="138" t="s">
        <v>96</v>
      </c>
      <c r="L22" s="139">
        <f>'Income Tax Form'!L54</f>
        <v>1393</v>
      </c>
    </row>
    <row r="23" spans="1:12" ht="21" customHeight="1">
      <c r="A23" s="117">
        <v>17</v>
      </c>
      <c r="B23" s="635" t="s">
        <v>559</v>
      </c>
      <c r="C23" s="635"/>
      <c r="D23" s="635"/>
      <c r="E23" s="635"/>
      <c r="F23" s="635"/>
      <c r="G23" s="635"/>
      <c r="H23" s="635"/>
      <c r="I23" s="132"/>
      <c r="J23" s="133"/>
      <c r="K23" s="138" t="s">
        <v>96</v>
      </c>
      <c r="L23" s="140">
        <f>'Income Tax Form'!G62</f>
        <v>0</v>
      </c>
    </row>
    <row r="24" spans="1:12" ht="21" customHeight="1">
      <c r="A24" s="117">
        <v>18</v>
      </c>
      <c r="B24" s="632" t="s">
        <v>220</v>
      </c>
      <c r="C24" s="632"/>
      <c r="D24" s="632"/>
      <c r="E24" s="632"/>
      <c r="F24" s="632"/>
      <c r="G24" s="632"/>
      <c r="H24" s="632"/>
      <c r="I24" s="132"/>
      <c r="J24" s="133"/>
      <c r="K24" s="138" t="s">
        <v>96</v>
      </c>
      <c r="L24" s="139">
        <f>'Income Tax Form'!L63</f>
        <v>1435</v>
      </c>
    </row>
    <row r="25" spans="1:12" ht="21" customHeight="1">
      <c r="A25" s="117">
        <v>19</v>
      </c>
      <c r="B25" s="667" t="s">
        <v>221</v>
      </c>
      <c r="C25" s="635"/>
      <c r="D25" s="635"/>
      <c r="E25" s="635"/>
      <c r="F25" s="635"/>
      <c r="G25" s="635"/>
      <c r="H25" s="635"/>
      <c r="I25" s="132"/>
      <c r="J25" s="133"/>
      <c r="K25" s="138" t="s">
        <v>96</v>
      </c>
      <c r="L25" s="140">
        <v>0</v>
      </c>
    </row>
    <row r="26" spans="1:12" ht="21" customHeight="1">
      <c r="A26" s="117"/>
      <c r="B26" s="72"/>
      <c r="C26" s="779" t="s">
        <v>222</v>
      </c>
      <c r="D26" s="779"/>
      <c r="E26" s="779"/>
      <c r="F26" s="779"/>
      <c r="G26" s="779"/>
      <c r="H26" s="779"/>
      <c r="I26" s="132"/>
      <c r="J26" s="133"/>
      <c r="K26" s="138" t="s">
        <v>96</v>
      </c>
      <c r="L26" s="140"/>
    </row>
    <row r="27" spans="1:12" ht="21" customHeight="1">
      <c r="A27" s="117"/>
      <c r="B27" s="72"/>
      <c r="C27" s="635" t="s">
        <v>223</v>
      </c>
      <c r="D27" s="635"/>
      <c r="E27" s="635"/>
      <c r="F27" s="635"/>
      <c r="G27" s="635"/>
      <c r="H27" s="635"/>
      <c r="I27" s="132"/>
      <c r="J27" s="133"/>
      <c r="K27" s="138" t="s">
        <v>96</v>
      </c>
      <c r="L27" s="140">
        <v>0</v>
      </c>
    </row>
    <row r="28" spans="1:12" ht="15">
      <c r="A28" s="141">
        <v>20</v>
      </c>
      <c r="B28" s="780" t="s">
        <v>224</v>
      </c>
      <c r="C28" s="780"/>
      <c r="D28" s="780"/>
      <c r="E28" s="780"/>
      <c r="F28" s="780"/>
      <c r="G28" s="142"/>
      <c r="H28" s="143"/>
      <c r="I28" s="144"/>
      <c r="J28" s="145"/>
      <c r="K28" s="146" t="s">
        <v>96</v>
      </c>
      <c r="L28" s="147">
        <v>0</v>
      </c>
    </row>
    <row r="29" spans="1:12" ht="15">
      <c r="A29" s="148"/>
      <c r="B29" s="149"/>
      <c r="C29" s="149"/>
      <c r="D29" s="149"/>
      <c r="E29" s="149"/>
      <c r="F29" s="149"/>
      <c r="G29" s="149"/>
      <c r="H29" s="149"/>
      <c r="I29" s="150"/>
      <c r="J29" s="151"/>
      <c r="K29" s="149"/>
      <c r="L29" s="152"/>
    </row>
    <row r="30" spans="1:12" ht="15">
      <c r="A30" s="153"/>
      <c r="B30" s="119"/>
      <c r="C30" s="119"/>
      <c r="D30" s="119"/>
      <c r="E30" s="119"/>
      <c r="F30" s="119"/>
      <c r="G30" s="119"/>
      <c r="H30" s="119"/>
      <c r="I30" s="119"/>
      <c r="J30" s="119"/>
      <c r="K30" s="119"/>
      <c r="L30" s="154"/>
    </row>
    <row r="31" spans="1:12" ht="15">
      <c r="A31" s="781" t="s">
        <v>225</v>
      </c>
      <c r="B31" s="782"/>
      <c r="C31" s="782"/>
      <c r="D31" s="782"/>
      <c r="E31" s="782"/>
      <c r="F31" s="782"/>
      <c r="G31" s="782"/>
      <c r="H31" s="782"/>
      <c r="I31" s="782"/>
      <c r="J31" s="782"/>
      <c r="K31" s="782"/>
      <c r="L31" s="783"/>
    </row>
    <row r="32" spans="1:12" ht="15">
      <c r="A32" s="784" t="s">
        <v>226</v>
      </c>
      <c r="B32" s="785"/>
      <c r="C32" s="785"/>
      <c r="D32" s="785"/>
      <c r="E32" s="785"/>
      <c r="F32" s="785"/>
      <c r="G32" s="785"/>
      <c r="H32" s="785"/>
      <c r="I32" s="785"/>
      <c r="J32" s="785"/>
      <c r="K32" s="785"/>
      <c r="L32" s="786"/>
    </row>
    <row r="33" spans="1:12" ht="15">
      <c r="A33" s="153"/>
      <c r="B33" s="119"/>
      <c r="C33" s="119"/>
      <c r="D33" s="119"/>
      <c r="E33" s="119"/>
      <c r="F33" s="119"/>
      <c r="G33" s="119"/>
      <c r="H33" s="119"/>
      <c r="I33" s="119"/>
      <c r="J33" s="119"/>
      <c r="K33" s="119"/>
      <c r="L33" s="154"/>
    </row>
    <row r="34" spans="1:12" ht="15">
      <c r="A34" s="155" t="s">
        <v>227</v>
      </c>
      <c r="B34" s="787" t="s">
        <v>228</v>
      </c>
      <c r="C34" s="788"/>
      <c r="D34" s="157" t="s">
        <v>229</v>
      </c>
      <c r="E34" s="156" t="s">
        <v>230</v>
      </c>
      <c r="F34" s="156" t="s">
        <v>231</v>
      </c>
      <c r="G34" s="787" t="s">
        <v>232</v>
      </c>
      <c r="H34" s="789"/>
      <c r="I34" s="158" t="s">
        <v>233</v>
      </c>
      <c r="J34" s="158" t="s">
        <v>234</v>
      </c>
      <c r="K34" s="787" t="s">
        <v>235</v>
      </c>
      <c r="L34" s="790"/>
    </row>
    <row r="35" spans="1:12" ht="15">
      <c r="A35" s="159" t="s">
        <v>236</v>
      </c>
      <c r="B35" s="771" t="s">
        <v>96</v>
      </c>
      <c r="C35" s="772"/>
      <c r="D35" s="161" t="s">
        <v>96</v>
      </c>
      <c r="E35" s="160" t="s">
        <v>237</v>
      </c>
      <c r="F35" s="160" t="s">
        <v>238</v>
      </c>
      <c r="G35" s="771" t="s">
        <v>239</v>
      </c>
      <c r="H35" s="773"/>
      <c r="I35" s="162" t="s">
        <v>240</v>
      </c>
      <c r="J35" s="162" t="s">
        <v>241</v>
      </c>
      <c r="K35" s="771" t="s">
        <v>242</v>
      </c>
      <c r="L35" s="774"/>
    </row>
    <row r="36" spans="1:12" ht="15">
      <c r="A36" s="163"/>
      <c r="B36" s="775"/>
      <c r="C36" s="776"/>
      <c r="D36" s="164"/>
      <c r="E36" s="164" t="s">
        <v>96</v>
      </c>
      <c r="F36" s="164" t="s">
        <v>96</v>
      </c>
      <c r="G36" s="775"/>
      <c r="H36" s="777"/>
      <c r="I36" s="166" t="s">
        <v>243</v>
      </c>
      <c r="J36" s="166" t="s">
        <v>238</v>
      </c>
      <c r="K36" s="775" t="s">
        <v>244</v>
      </c>
      <c r="L36" s="778"/>
    </row>
    <row r="37" spans="1:12" ht="21" customHeight="1">
      <c r="A37" s="168">
        <v>1</v>
      </c>
      <c r="B37" s="164"/>
      <c r="C37" s="165"/>
      <c r="D37" s="164"/>
      <c r="E37" s="164"/>
      <c r="F37" s="164"/>
      <c r="G37" s="164"/>
      <c r="H37" s="166"/>
      <c r="I37" s="166"/>
      <c r="J37" s="166"/>
      <c r="K37" s="164"/>
      <c r="L37" s="167"/>
    </row>
    <row r="38" spans="1:12" ht="21" customHeight="1">
      <c r="A38" s="168">
        <v>2</v>
      </c>
      <c r="B38" s="164"/>
      <c r="C38" s="165"/>
      <c r="D38" s="164"/>
      <c r="E38" s="164"/>
      <c r="F38" s="164"/>
      <c r="G38" s="164"/>
      <c r="H38" s="166"/>
      <c r="I38" s="166"/>
      <c r="J38" s="166"/>
      <c r="K38" s="164"/>
      <c r="L38" s="167"/>
    </row>
    <row r="39" spans="1:12" ht="21" customHeight="1">
      <c r="A39" s="168">
        <v>3</v>
      </c>
      <c r="B39" s="164"/>
      <c r="C39" s="165"/>
      <c r="D39" s="164"/>
      <c r="E39" s="164"/>
      <c r="F39" s="164"/>
      <c r="G39" s="164"/>
      <c r="H39" s="166"/>
      <c r="I39" s="166"/>
      <c r="J39" s="166"/>
      <c r="K39" s="164"/>
      <c r="L39" s="167"/>
    </row>
    <row r="40" spans="1:12" ht="21" customHeight="1">
      <c r="A40" s="168">
        <v>4</v>
      </c>
      <c r="B40" s="164"/>
      <c r="C40" s="165"/>
      <c r="D40" s="164"/>
      <c r="E40" s="164"/>
      <c r="F40" s="164"/>
      <c r="G40" s="164"/>
      <c r="H40" s="166"/>
      <c r="I40" s="166"/>
      <c r="J40" s="166"/>
      <c r="K40" s="164"/>
      <c r="L40" s="167"/>
    </row>
    <row r="41" spans="1:12" ht="21" customHeight="1">
      <c r="A41" s="168">
        <v>5</v>
      </c>
      <c r="B41" s="164"/>
      <c r="C41" s="165"/>
      <c r="D41" s="164"/>
      <c r="E41" s="164"/>
      <c r="F41" s="164"/>
      <c r="G41" s="164"/>
      <c r="H41" s="166"/>
      <c r="I41" s="166"/>
      <c r="J41" s="166"/>
      <c r="K41" s="164"/>
      <c r="L41" s="167"/>
    </row>
    <row r="42" spans="1:12" ht="21" customHeight="1">
      <c r="A42" s="168">
        <v>6</v>
      </c>
      <c r="B42" s="763"/>
      <c r="C42" s="764"/>
      <c r="D42" s="169"/>
      <c r="E42" s="171"/>
      <c r="F42" s="171"/>
      <c r="G42" s="763"/>
      <c r="H42" s="765"/>
      <c r="I42" s="172"/>
      <c r="J42" s="172"/>
      <c r="K42" s="763"/>
      <c r="L42" s="766"/>
    </row>
    <row r="43" spans="1:12" ht="21" customHeight="1">
      <c r="A43" s="168">
        <v>7</v>
      </c>
      <c r="B43" s="169"/>
      <c r="C43" s="170"/>
      <c r="D43" s="169"/>
      <c r="E43" s="171"/>
      <c r="F43" s="171"/>
      <c r="G43" s="169"/>
      <c r="H43" s="172"/>
      <c r="I43" s="172"/>
      <c r="J43" s="172"/>
      <c r="K43" s="169"/>
      <c r="L43" s="173"/>
    </row>
    <row r="44" spans="1:12" ht="21" customHeight="1">
      <c r="A44" s="168">
        <v>8</v>
      </c>
      <c r="B44" s="763"/>
      <c r="C44" s="764"/>
      <c r="D44" s="169"/>
      <c r="E44" s="174"/>
      <c r="F44" s="174"/>
      <c r="G44" s="763"/>
      <c r="H44" s="765"/>
      <c r="I44" s="172"/>
      <c r="J44" s="172"/>
      <c r="K44" s="763"/>
      <c r="L44" s="766"/>
    </row>
    <row r="45" spans="1:12" ht="21" customHeight="1">
      <c r="A45" s="168">
        <v>9</v>
      </c>
      <c r="B45" s="169"/>
      <c r="C45" s="170"/>
      <c r="D45" s="169"/>
      <c r="E45" s="174"/>
      <c r="F45" s="174"/>
      <c r="G45" s="169"/>
      <c r="H45" s="172"/>
      <c r="I45" s="172"/>
      <c r="J45" s="172"/>
      <c r="K45" s="169"/>
      <c r="L45" s="173"/>
    </row>
    <row r="46" spans="1:12" ht="21" customHeight="1">
      <c r="A46" s="168">
        <v>10</v>
      </c>
      <c r="B46" s="169"/>
      <c r="C46" s="170"/>
      <c r="D46" s="169"/>
      <c r="E46" s="174"/>
      <c r="F46" s="174"/>
      <c r="G46" s="169"/>
      <c r="H46" s="172"/>
      <c r="I46" s="172"/>
      <c r="J46" s="172"/>
      <c r="K46" s="169"/>
      <c r="L46" s="173"/>
    </row>
    <row r="47" spans="1:12" s="49" customFormat="1" ht="21" customHeight="1">
      <c r="A47" s="24">
        <v>11</v>
      </c>
      <c r="B47" s="757"/>
      <c r="C47" s="758"/>
      <c r="D47" s="25"/>
      <c r="E47" s="27"/>
      <c r="F47" s="27"/>
      <c r="G47" s="757"/>
      <c r="H47" s="758"/>
      <c r="I47" s="26"/>
      <c r="J47" s="26"/>
      <c r="K47" s="757"/>
      <c r="L47" s="759"/>
    </row>
    <row r="48" spans="1:12" s="49" customFormat="1" ht="21" customHeight="1">
      <c r="A48" s="24">
        <v>12</v>
      </c>
      <c r="B48" s="757"/>
      <c r="C48" s="758"/>
      <c r="D48" s="25"/>
      <c r="E48" s="27"/>
      <c r="F48" s="27"/>
      <c r="G48" s="757"/>
      <c r="H48" s="758"/>
      <c r="I48" s="26"/>
      <c r="J48" s="26"/>
      <c r="K48" s="757"/>
      <c r="L48" s="759"/>
    </row>
    <row r="49" spans="1:12" s="49" customFormat="1" ht="15">
      <c r="A49" s="22"/>
      <c r="B49" s="20"/>
      <c r="C49" s="20"/>
      <c r="D49" s="20"/>
      <c r="E49" s="20"/>
      <c r="F49" s="20"/>
      <c r="G49" s="767"/>
      <c r="H49" s="767"/>
      <c r="I49" s="20"/>
      <c r="J49" s="20"/>
      <c r="K49" s="20"/>
      <c r="L49" s="23"/>
    </row>
    <row r="50" spans="1:12" s="49" customFormat="1" ht="15">
      <c r="A50" s="768" t="s">
        <v>314</v>
      </c>
      <c r="B50" s="769"/>
      <c r="C50" s="769"/>
      <c r="D50" s="769"/>
      <c r="E50" s="769"/>
      <c r="F50" s="769"/>
      <c r="G50" s="769"/>
      <c r="H50" s="769"/>
      <c r="I50" s="769"/>
      <c r="J50" s="769"/>
      <c r="K50" s="769"/>
      <c r="L50" s="770"/>
    </row>
    <row r="51" spans="1:12" s="49" customFormat="1" ht="15">
      <c r="A51" s="768"/>
      <c r="B51" s="769"/>
      <c r="C51" s="769"/>
      <c r="D51" s="769"/>
      <c r="E51" s="769"/>
      <c r="F51" s="769"/>
      <c r="G51" s="769"/>
      <c r="H51" s="769"/>
      <c r="I51" s="769"/>
      <c r="J51" s="769"/>
      <c r="K51" s="769"/>
      <c r="L51" s="770"/>
    </row>
    <row r="52" spans="1:12" s="49" customFormat="1" ht="15">
      <c r="A52" s="768"/>
      <c r="B52" s="769"/>
      <c r="C52" s="769"/>
      <c r="D52" s="769"/>
      <c r="E52" s="769"/>
      <c r="F52" s="769"/>
      <c r="G52" s="769"/>
      <c r="H52" s="769"/>
      <c r="I52" s="769"/>
      <c r="J52" s="769"/>
      <c r="K52" s="769"/>
      <c r="L52" s="770"/>
    </row>
    <row r="53" spans="1:12" s="49" customFormat="1" ht="15">
      <c r="A53" s="768"/>
      <c r="B53" s="769"/>
      <c r="C53" s="769"/>
      <c r="D53" s="769"/>
      <c r="E53" s="769"/>
      <c r="F53" s="769"/>
      <c r="G53" s="769"/>
      <c r="H53" s="769"/>
      <c r="I53" s="769"/>
      <c r="J53" s="769"/>
      <c r="K53" s="769"/>
      <c r="L53" s="770"/>
    </row>
    <row r="54" spans="1:12" s="49" customFormat="1" ht="15">
      <c r="A54" s="768"/>
      <c r="B54" s="769"/>
      <c r="C54" s="769"/>
      <c r="D54" s="769"/>
      <c r="E54" s="769"/>
      <c r="F54" s="769"/>
      <c r="G54" s="769"/>
      <c r="H54" s="769"/>
      <c r="I54" s="769"/>
      <c r="J54" s="769"/>
      <c r="K54" s="769"/>
      <c r="L54" s="770"/>
    </row>
    <row r="55" spans="1:12" s="49" customFormat="1" ht="15">
      <c r="A55" s="22"/>
      <c r="B55" s="20"/>
      <c r="C55" s="20"/>
      <c r="D55" s="20"/>
      <c r="E55" s="20"/>
      <c r="F55" s="20"/>
      <c r="G55" s="20"/>
      <c r="H55" s="20"/>
      <c r="I55" s="20"/>
      <c r="J55" s="20"/>
      <c r="K55" s="20"/>
      <c r="L55" s="23"/>
    </row>
    <row r="56" spans="1:12" s="49" customFormat="1" ht="15">
      <c r="A56" s="22"/>
      <c r="B56" s="20"/>
      <c r="C56" s="20"/>
      <c r="D56" s="20"/>
      <c r="E56" s="20"/>
      <c r="F56" s="20"/>
      <c r="G56" s="20"/>
      <c r="H56" s="20"/>
      <c r="I56" s="20"/>
      <c r="J56" s="20"/>
      <c r="K56" s="20"/>
      <c r="L56" s="23"/>
    </row>
    <row r="57" spans="1:12" s="49" customFormat="1" ht="15">
      <c r="A57" s="28"/>
      <c r="B57" s="21"/>
      <c r="C57" s="21"/>
      <c r="D57" s="21"/>
      <c r="E57" s="21"/>
      <c r="F57" s="21" t="s">
        <v>245</v>
      </c>
      <c r="G57" s="21"/>
      <c r="H57" s="21"/>
      <c r="I57" s="21"/>
      <c r="J57" s="21"/>
      <c r="K57" s="21"/>
      <c r="L57" s="29"/>
    </row>
    <row r="58" spans="1:12" s="49" customFormat="1" ht="15">
      <c r="A58" s="28"/>
      <c r="B58" s="21"/>
      <c r="C58" s="21"/>
      <c r="D58" s="21"/>
      <c r="E58" s="21"/>
      <c r="F58" s="21"/>
      <c r="G58" s="21"/>
      <c r="H58" s="21"/>
      <c r="I58" s="21"/>
      <c r="J58" s="21"/>
      <c r="K58" s="21"/>
      <c r="L58" s="29"/>
    </row>
    <row r="59" spans="1:12" s="49" customFormat="1" ht="15">
      <c r="A59" s="760" t="s">
        <v>246</v>
      </c>
      <c r="B59" s="761"/>
      <c r="C59" s="21" t="str">
        <f>DATA!AM4</f>
        <v>MPPS Chenganapalle</v>
      </c>
      <c r="D59" s="21"/>
      <c r="E59" s="21"/>
      <c r="F59" s="19" t="s">
        <v>247</v>
      </c>
      <c r="G59" s="19"/>
      <c r="H59" s="21"/>
      <c r="I59" s="19"/>
      <c r="J59" s="21"/>
      <c r="K59" s="21"/>
      <c r="L59" s="30"/>
    </row>
    <row r="60" spans="1:12" s="49" customFormat="1" ht="15">
      <c r="A60" s="760" t="s">
        <v>248</v>
      </c>
      <c r="B60" s="761"/>
      <c r="C60" s="762" t="str">
        <f ca="1">DAY(TODAY())&amp;"/"&amp;MONTH(TODAY())&amp;"/"&amp;YEAR(TODAY())</f>
        <v>5/2/2017</v>
      </c>
      <c r="D60" s="762"/>
      <c r="E60" s="6"/>
      <c r="F60" s="6" t="s">
        <v>249</v>
      </c>
      <c r="G60" s="761" t="str">
        <f>DATA!AP22</f>
        <v>M.Narottam Reddy</v>
      </c>
      <c r="H60" s="761"/>
      <c r="I60" s="761"/>
      <c r="J60" s="761"/>
      <c r="K60" s="21"/>
      <c r="L60" s="31"/>
    </row>
    <row r="61" spans="1:12" s="49" customFormat="1" ht="15">
      <c r="A61" s="28"/>
      <c r="B61" s="21"/>
      <c r="C61" s="21"/>
      <c r="D61" s="21"/>
      <c r="E61" s="32"/>
      <c r="F61" s="19" t="s">
        <v>250</v>
      </c>
      <c r="G61" s="761" t="str">
        <f>DATA!AM23</f>
        <v>Mandal Educational Officer</v>
      </c>
      <c r="H61" s="761"/>
      <c r="I61" s="761"/>
      <c r="J61" s="761"/>
      <c r="K61" s="21"/>
      <c r="L61" s="31"/>
    </row>
    <row r="62" spans="1:12" s="49" customFormat="1" ht="16.5" thickBot="1">
      <c r="A62" s="109" t="s">
        <v>268</v>
      </c>
      <c r="B62" s="110"/>
      <c r="C62" s="111"/>
      <c r="D62" s="111"/>
      <c r="E62" s="111"/>
      <c r="F62" s="111"/>
      <c r="G62" s="111"/>
      <c r="H62" s="111"/>
      <c r="I62" s="111"/>
      <c r="J62" s="111"/>
      <c r="K62" s="111"/>
      <c r="L62" s="112"/>
    </row>
    <row r="63" ht="15.75" thickTop="1"/>
  </sheetData>
  <sheetProtection password="92B2" sheet="1" objects="1" scenarios="1" formatCells="0" formatColumns="0" formatRows="0" insertColumns="0" insertRows="0" selectLockedCells="1"/>
  <mergeCells count="57">
    <mergeCell ref="B5:F5"/>
    <mergeCell ref="B6:F6"/>
    <mergeCell ref="B7:F7"/>
    <mergeCell ref="B1:F1"/>
    <mergeCell ref="G1:H1"/>
    <mergeCell ref="B2:F2"/>
    <mergeCell ref="G2:H2"/>
    <mergeCell ref="B3:F3"/>
    <mergeCell ref="B4:F4"/>
    <mergeCell ref="B8:F8"/>
    <mergeCell ref="B9:F9"/>
    <mergeCell ref="B10:F10"/>
    <mergeCell ref="B14:H14"/>
    <mergeCell ref="B16:H16"/>
    <mergeCell ref="B17:H17"/>
    <mergeCell ref="B11:F11"/>
    <mergeCell ref="B12:F12"/>
    <mergeCell ref="B19:H19"/>
    <mergeCell ref="B20:H20"/>
    <mergeCell ref="B21:H21"/>
    <mergeCell ref="B23:H23"/>
    <mergeCell ref="B24:H24"/>
    <mergeCell ref="B25:H25"/>
    <mergeCell ref="B22:H22"/>
    <mergeCell ref="C26:H26"/>
    <mergeCell ref="C27:H27"/>
    <mergeCell ref="B28:F28"/>
    <mergeCell ref="A31:L31"/>
    <mergeCell ref="A32:L32"/>
    <mergeCell ref="B34:C34"/>
    <mergeCell ref="G34:H34"/>
    <mergeCell ref="K34:L34"/>
    <mergeCell ref="B35:C35"/>
    <mergeCell ref="G35:H35"/>
    <mergeCell ref="K35:L35"/>
    <mergeCell ref="B36:C36"/>
    <mergeCell ref="G36:H36"/>
    <mergeCell ref="K36:L36"/>
    <mergeCell ref="B42:C42"/>
    <mergeCell ref="G42:H42"/>
    <mergeCell ref="K42:L42"/>
    <mergeCell ref="K48:L48"/>
    <mergeCell ref="G49:H49"/>
    <mergeCell ref="A50:L54"/>
    <mergeCell ref="B44:C44"/>
    <mergeCell ref="G44:H44"/>
    <mergeCell ref="K44:L44"/>
    <mergeCell ref="B47:C47"/>
    <mergeCell ref="G47:H47"/>
    <mergeCell ref="K47:L47"/>
    <mergeCell ref="A60:B60"/>
    <mergeCell ref="C60:D60"/>
    <mergeCell ref="G60:J60"/>
    <mergeCell ref="G61:J61"/>
    <mergeCell ref="B48:C48"/>
    <mergeCell ref="G48:H48"/>
    <mergeCell ref="A59:B59"/>
  </mergeCells>
  <printOptions/>
  <pageMargins left="0.7" right="0.7" top="0.75" bottom="0.75" header="0.3" footer="0.3"/>
  <pageSetup fitToHeight="0" fitToWidth="1" horizontalDpi="600" verticalDpi="600" orientation="portrait" paperSize="5" scale="86" r:id="rId2"/>
  <drawing r:id="rId1"/>
</worksheet>
</file>

<file path=xl/worksheets/sheet9.xml><?xml version="1.0" encoding="utf-8"?>
<worksheet xmlns="http://schemas.openxmlformats.org/spreadsheetml/2006/main" xmlns:r="http://schemas.openxmlformats.org/officeDocument/2006/relationships">
  <sheetPr codeName="Sheet7"/>
  <dimension ref="A1:DX59"/>
  <sheetViews>
    <sheetView showGridLines="0" showRowColHeaders="0" view="pageBreakPreview" zoomScaleSheetLayoutView="100" zoomScalePageLayoutView="0" workbookViewId="0" topLeftCell="B14">
      <selection activeCell="B15" sqref="B15:I20"/>
    </sheetView>
  </sheetViews>
  <sheetFormatPr defaultColWidth="9.140625" defaultRowHeight="15"/>
  <cols>
    <col min="1" max="1" width="13.421875" style="0" hidden="1" customWidth="1"/>
    <col min="2" max="2" width="32.7109375" style="0" customWidth="1"/>
    <col min="3" max="8" width="4.57421875" style="0" customWidth="1"/>
    <col min="9" max="9" width="27.00390625" style="0" customWidth="1"/>
    <col min="10" max="18" width="4.57421875" style="0" customWidth="1"/>
    <col min="19" max="122" width="9.00390625" style="0" customWidth="1"/>
  </cols>
  <sheetData>
    <row r="1" spans="1:109" ht="15" hidden="1">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AT1" s="311"/>
      <c r="AU1" s="311"/>
      <c r="AV1" s="311"/>
      <c r="AW1" s="311"/>
      <c r="AX1" s="311"/>
      <c r="AY1" s="311"/>
      <c r="AZ1" s="311"/>
      <c r="BA1" s="311"/>
      <c r="BB1" s="311"/>
      <c r="BC1" s="311"/>
      <c r="BD1" s="311"/>
      <c r="BE1" s="311"/>
      <c r="BF1" s="311"/>
      <c r="BG1" s="311"/>
      <c r="BH1" s="311"/>
      <c r="BI1" s="311"/>
      <c r="BJ1" s="311"/>
      <c r="BK1" s="311"/>
      <c r="BL1" s="311"/>
      <c r="BM1" s="311"/>
      <c r="BN1" s="311"/>
      <c r="BO1" s="311"/>
      <c r="BP1" s="311"/>
      <c r="BQ1" s="311"/>
      <c r="BR1" s="311"/>
      <c r="BS1" s="311"/>
      <c r="BT1" s="311"/>
      <c r="BU1" s="311"/>
      <c r="BV1" s="311"/>
      <c r="BW1" s="311"/>
      <c r="BX1" s="311"/>
      <c r="BY1" s="311"/>
      <c r="BZ1" s="311"/>
      <c r="CA1" s="311"/>
      <c r="CB1" s="311"/>
      <c r="CC1" s="311"/>
      <c r="CD1" s="311"/>
      <c r="CE1" s="311"/>
      <c r="CF1" s="311"/>
      <c r="CG1" s="311"/>
      <c r="CH1" s="311"/>
      <c r="CI1" s="311"/>
      <c r="CJ1" s="311"/>
      <c r="CK1" s="311"/>
      <c r="CL1" s="311"/>
      <c r="CM1" s="311"/>
      <c r="CN1" s="311"/>
      <c r="CO1" s="311"/>
      <c r="CP1" s="311"/>
      <c r="CQ1" s="311"/>
      <c r="CR1" s="311"/>
      <c r="CS1" s="311"/>
      <c r="CT1" s="311"/>
      <c r="CU1" s="311"/>
      <c r="CV1" s="311"/>
      <c r="CW1" s="311"/>
      <c r="CX1" s="311"/>
      <c r="CY1" s="311"/>
      <c r="CZ1" s="311"/>
      <c r="DA1" s="311"/>
      <c r="DB1" s="311"/>
      <c r="DC1" s="311"/>
      <c r="DD1" s="311"/>
      <c r="DE1" s="311"/>
    </row>
    <row r="2" spans="1:109" ht="15" hidden="1">
      <c r="A2" s="311"/>
      <c r="B2" s="311"/>
      <c r="C2" s="311"/>
      <c r="D2" s="311"/>
      <c r="E2" s="311"/>
      <c r="F2" s="311"/>
      <c r="G2" s="311">
        <v>1</v>
      </c>
      <c r="H2" s="311">
        <v>2</v>
      </c>
      <c r="I2" s="311">
        <v>3</v>
      </c>
      <c r="J2" s="311">
        <v>4</v>
      </c>
      <c r="K2" s="311">
        <v>5</v>
      </c>
      <c r="L2" s="311">
        <v>6</v>
      </c>
      <c r="M2" s="311">
        <v>7</v>
      </c>
      <c r="N2" s="311"/>
      <c r="O2" s="311"/>
      <c r="P2" s="311"/>
      <c r="Q2" s="311">
        <v>8</v>
      </c>
      <c r="R2" s="311">
        <v>9</v>
      </c>
      <c r="S2" s="311">
        <v>10</v>
      </c>
      <c r="T2" s="311">
        <v>11</v>
      </c>
      <c r="U2" s="311">
        <v>12</v>
      </c>
      <c r="V2" s="311">
        <v>13</v>
      </c>
      <c r="W2" s="311">
        <v>14</v>
      </c>
      <c r="X2" s="311">
        <v>15</v>
      </c>
      <c r="Y2" s="311">
        <v>16</v>
      </c>
      <c r="Z2" s="311">
        <v>17</v>
      </c>
      <c r="AA2" s="311">
        <v>18</v>
      </c>
      <c r="AB2" s="311">
        <v>19</v>
      </c>
      <c r="AC2" s="311">
        <v>20</v>
      </c>
      <c r="AD2" s="311">
        <v>21</v>
      </c>
      <c r="AE2" s="311">
        <v>22</v>
      </c>
      <c r="AF2" s="311">
        <v>23</v>
      </c>
      <c r="AG2" s="311">
        <v>24</v>
      </c>
      <c r="AH2" s="311">
        <v>25</v>
      </c>
      <c r="AI2" s="311">
        <v>26</v>
      </c>
      <c r="AJ2" s="311">
        <v>27</v>
      </c>
      <c r="AK2" s="311">
        <v>28</v>
      </c>
      <c r="AL2" s="311">
        <v>29</v>
      </c>
      <c r="AM2" s="311">
        <v>30</v>
      </c>
      <c r="AN2" s="311">
        <v>31</v>
      </c>
      <c r="AO2" s="311">
        <v>32</v>
      </c>
      <c r="AP2" s="311">
        <v>33</v>
      </c>
      <c r="AQ2" s="311">
        <v>34</v>
      </c>
      <c r="AR2" s="311">
        <v>35</v>
      </c>
      <c r="AS2" s="311">
        <v>36</v>
      </c>
      <c r="AT2" s="311">
        <v>37</v>
      </c>
      <c r="AU2" s="311">
        <v>38</v>
      </c>
      <c r="AV2" s="311">
        <v>39</v>
      </c>
      <c r="AW2" s="311">
        <v>40</v>
      </c>
      <c r="AX2" s="311">
        <v>41</v>
      </c>
      <c r="AY2" s="311">
        <v>42</v>
      </c>
      <c r="AZ2" s="311">
        <v>43</v>
      </c>
      <c r="BA2" s="311">
        <v>44</v>
      </c>
      <c r="BB2" s="311">
        <v>45</v>
      </c>
      <c r="BC2" s="311">
        <v>46</v>
      </c>
      <c r="BD2" s="311">
        <v>47</v>
      </c>
      <c r="BE2" s="311">
        <v>48</v>
      </c>
      <c r="BF2" s="311">
        <v>49</v>
      </c>
      <c r="BG2" s="311">
        <v>50</v>
      </c>
      <c r="BH2" s="311">
        <v>51</v>
      </c>
      <c r="BI2" s="311">
        <v>52</v>
      </c>
      <c r="BJ2" s="311">
        <v>53</v>
      </c>
      <c r="BK2" s="311">
        <v>54</v>
      </c>
      <c r="BL2" s="311">
        <v>55</v>
      </c>
      <c r="BM2" s="311">
        <v>56</v>
      </c>
      <c r="BN2" s="311">
        <v>57</v>
      </c>
      <c r="BO2" s="311">
        <v>58</v>
      </c>
      <c r="BP2" s="311">
        <v>59</v>
      </c>
      <c r="BQ2" s="311">
        <v>60</v>
      </c>
      <c r="BR2" s="311">
        <v>61</v>
      </c>
      <c r="BS2" s="311">
        <v>62</v>
      </c>
      <c r="BT2" s="311">
        <v>63</v>
      </c>
      <c r="BU2" s="311">
        <v>64</v>
      </c>
      <c r="BV2" s="311">
        <v>65</v>
      </c>
      <c r="BW2" s="311">
        <v>66</v>
      </c>
      <c r="BX2" s="311">
        <v>67</v>
      </c>
      <c r="BY2" s="311">
        <v>68</v>
      </c>
      <c r="BZ2" s="311">
        <v>69</v>
      </c>
      <c r="CA2" s="311">
        <v>70</v>
      </c>
      <c r="CB2" s="311">
        <v>71</v>
      </c>
      <c r="CC2" s="311">
        <v>72</v>
      </c>
      <c r="CD2" s="311">
        <v>73</v>
      </c>
      <c r="CE2" s="311">
        <v>74</v>
      </c>
      <c r="CF2" s="311">
        <v>75</v>
      </c>
      <c r="CG2" s="311">
        <v>76</v>
      </c>
      <c r="CH2" s="311">
        <v>77</v>
      </c>
      <c r="CI2" s="311">
        <v>78</v>
      </c>
      <c r="CJ2" s="311">
        <v>79</v>
      </c>
      <c r="CK2" s="311">
        <v>80</v>
      </c>
      <c r="CL2" s="311">
        <v>81</v>
      </c>
      <c r="CM2" s="311">
        <v>82</v>
      </c>
      <c r="CN2" s="311">
        <v>83</v>
      </c>
      <c r="CO2" s="311">
        <v>84</v>
      </c>
      <c r="CP2" s="311">
        <v>85</v>
      </c>
      <c r="CQ2" s="311">
        <v>86</v>
      </c>
      <c r="CR2" s="311">
        <v>87</v>
      </c>
      <c r="CS2" s="311">
        <v>88</v>
      </c>
      <c r="CT2" s="311">
        <v>89</v>
      </c>
      <c r="CU2" s="311">
        <v>90</v>
      </c>
      <c r="CV2" s="311">
        <v>91</v>
      </c>
      <c r="CW2" s="311">
        <v>92</v>
      </c>
      <c r="CX2" s="311">
        <v>93</v>
      </c>
      <c r="CY2" s="311">
        <v>94</v>
      </c>
      <c r="CZ2" s="311">
        <v>95</v>
      </c>
      <c r="DA2" s="311">
        <v>96</v>
      </c>
      <c r="DB2" s="311">
        <v>97</v>
      </c>
      <c r="DC2" s="311">
        <v>98</v>
      </c>
      <c r="DD2" s="311">
        <v>99</v>
      </c>
      <c r="DE2" s="311"/>
    </row>
    <row r="3" spans="1:109" ht="15" hidden="1">
      <c r="A3" s="311"/>
      <c r="B3" s="311"/>
      <c r="C3" s="311"/>
      <c r="D3" s="311"/>
      <c r="E3" s="311"/>
      <c r="F3" s="311"/>
      <c r="G3" s="311" t="s">
        <v>335</v>
      </c>
      <c r="H3" s="312" t="s">
        <v>336</v>
      </c>
      <c r="I3" s="312" t="s">
        <v>337</v>
      </c>
      <c r="J3" s="312" t="s">
        <v>338</v>
      </c>
      <c r="K3" s="312" t="s">
        <v>339</v>
      </c>
      <c r="L3" s="312" t="s">
        <v>340</v>
      </c>
      <c r="M3" s="312" t="s">
        <v>341</v>
      </c>
      <c r="N3" s="312"/>
      <c r="O3" s="312"/>
      <c r="P3" s="312"/>
      <c r="Q3" s="312" t="s">
        <v>342</v>
      </c>
      <c r="R3" s="312" t="s">
        <v>343</v>
      </c>
      <c r="S3" s="312" t="s">
        <v>344</v>
      </c>
      <c r="T3" s="312" t="s">
        <v>345</v>
      </c>
      <c r="U3" s="312" t="s">
        <v>346</v>
      </c>
      <c r="V3" s="312" t="s">
        <v>347</v>
      </c>
      <c r="W3" s="312" t="s">
        <v>348</v>
      </c>
      <c r="X3" s="312" t="s">
        <v>349</v>
      </c>
      <c r="Y3" s="312" t="s">
        <v>350</v>
      </c>
      <c r="Z3" s="312" t="s">
        <v>351</v>
      </c>
      <c r="AA3" s="312" t="s">
        <v>352</v>
      </c>
      <c r="AB3" s="312" t="s">
        <v>353</v>
      </c>
      <c r="AC3" s="312" t="s">
        <v>354</v>
      </c>
      <c r="AD3" s="312" t="s">
        <v>355</v>
      </c>
      <c r="AE3" s="312" t="s">
        <v>356</v>
      </c>
      <c r="AF3" s="312" t="s">
        <v>357</v>
      </c>
      <c r="AG3" s="312" t="s">
        <v>358</v>
      </c>
      <c r="AH3" s="312" t="s">
        <v>359</v>
      </c>
      <c r="AI3" s="312" t="s">
        <v>360</v>
      </c>
      <c r="AJ3" s="312" t="s">
        <v>361</v>
      </c>
      <c r="AK3" s="312" t="s">
        <v>362</v>
      </c>
      <c r="AL3" s="312" t="s">
        <v>363</v>
      </c>
      <c r="AM3" s="312" t="s">
        <v>364</v>
      </c>
      <c r="AN3" s="312" t="s">
        <v>365</v>
      </c>
      <c r="AO3" s="312" t="s">
        <v>366</v>
      </c>
      <c r="AP3" s="312" t="s">
        <v>367</v>
      </c>
      <c r="AQ3" s="312" t="s">
        <v>368</v>
      </c>
      <c r="AR3" s="312" t="s">
        <v>369</v>
      </c>
      <c r="AS3" s="312" t="s">
        <v>370</v>
      </c>
      <c r="AT3" s="312" t="s">
        <v>371</v>
      </c>
      <c r="AU3" s="312" t="s">
        <v>372</v>
      </c>
      <c r="AV3" s="312" t="s">
        <v>373</v>
      </c>
      <c r="AW3" s="312" t="s">
        <v>374</v>
      </c>
      <c r="AX3" s="312" t="s">
        <v>375</v>
      </c>
      <c r="AY3" s="312" t="s">
        <v>376</v>
      </c>
      <c r="AZ3" s="312" t="s">
        <v>377</v>
      </c>
      <c r="BA3" s="312" t="s">
        <v>378</v>
      </c>
      <c r="BB3" s="312" t="s">
        <v>379</v>
      </c>
      <c r="BC3" s="312" t="s">
        <v>380</v>
      </c>
      <c r="BD3" s="312" t="s">
        <v>381</v>
      </c>
      <c r="BE3" s="312" t="s">
        <v>382</v>
      </c>
      <c r="BF3" s="312" t="s">
        <v>383</v>
      </c>
      <c r="BG3" s="312" t="s">
        <v>384</v>
      </c>
      <c r="BH3" s="312" t="s">
        <v>385</v>
      </c>
      <c r="BI3" s="312" t="s">
        <v>386</v>
      </c>
      <c r="BJ3" s="312" t="s">
        <v>387</v>
      </c>
      <c r="BK3" s="312" t="s">
        <v>388</v>
      </c>
      <c r="BL3" s="312" t="s">
        <v>389</v>
      </c>
      <c r="BM3" s="312" t="s">
        <v>390</v>
      </c>
      <c r="BN3" s="312" t="s">
        <v>391</v>
      </c>
      <c r="BO3" s="312" t="s">
        <v>392</v>
      </c>
      <c r="BP3" s="312" t="s">
        <v>393</v>
      </c>
      <c r="BQ3" s="312" t="s">
        <v>394</v>
      </c>
      <c r="BR3" s="312" t="s">
        <v>395</v>
      </c>
      <c r="BS3" s="312" t="s">
        <v>396</v>
      </c>
      <c r="BT3" s="312" t="s">
        <v>397</v>
      </c>
      <c r="BU3" s="312" t="s">
        <v>398</v>
      </c>
      <c r="BV3" s="312" t="s">
        <v>399</v>
      </c>
      <c r="BW3" s="312" t="s">
        <v>400</v>
      </c>
      <c r="BX3" s="312" t="s">
        <v>401</v>
      </c>
      <c r="BY3" s="312" t="s">
        <v>402</v>
      </c>
      <c r="BZ3" s="312" t="s">
        <v>403</v>
      </c>
      <c r="CA3" s="312" t="s">
        <v>404</v>
      </c>
      <c r="CB3" s="312" t="s">
        <v>405</v>
      </c>
      <c r="CC3" s="312" t="s">
        <v>406</v>
      </c>
      <c r="CD3" s="312" t="s">
        <v>407</v>
      </c>
      <c r="CE3" s="312" t="s">
        <v>408</v>
      </c>
      <c r="CF3" s="312" t="s">
        <v>409</v>
      </c>
      <c r="CG3" s="312" t="s">
        <v>410</v>
      </c>
      <c r="CH3" s="312" t="s">
        <v>411</v>
      </c>
      <c r="CI3" s="312" t="s">
        <v>412</v>
      </c>
      <c r="CJ3" s="312" t="s">
        <v>413</v>
      </c>
      <c r="CK3" s="312" t="s">
        <v>414</v>
      </c>
      <c r="CL3" s="312" t="s">
        <v>415</v>
      </c>
      <c r="CM3" s="312" t="s">
        <v>416</v>
      </c>
      <c r="CN3" s="312" t="s">
        <v>417</v>
      </c>
      <c r="CO3" s="312" t="s">
        <v>418</v>
      </c>
      <c r="CP3" s="312" t="s">
        <v>419</v>
      </c>
      <c r="CQ3" s="312" t="s">
        <v>420</v>
      </c>
      <c r="CR3" s="312" t="s">
        <v>421</v>
      </c>
      <c r="CS3" s="312" t="s">
        <v>422</v>
      </c>
      <c r="CT3" s="312" t="s">
        <v>423</v>
      </c>
      <c r="CU3" s="312" t="s">
        <v>424</v>
      </c>
      <c r="CV3" s="312" t="s">
        <v>425</v>
      </c>
      <c r="CW3" s="312" t="s">
        <v>426</v>
      </c>
      <c r="CX3" s="312" t="s">
        <v>427</v>
      </c>
      <c r="CY3" s="312" t="s">
        <v>428</v>
      </c>
      <c r="CZ3" s="312" t="s">
        <v>429</v>
      </c>
      <c r="DA3" s="312" t="s">
        <v>430</v>
      </c>
      <c r="DB3" s="312" t="s">
        <v>431</v>
      </c>
      <c r="DC3" s="312" t="s">
        <v>432</v>
      </c>
      <c r="DD3" s="312" t="s">
        <v>433</v>
      </c>
      <c r="DE3" s="311"/>
    </row>
    <row r="4" spans="1:109" ht="15.75" hidden="1">
      <c r="A4" s="313"/>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c r="DE4" s="311"/>
    </row>
    <row r="5" spans="1:109" ht="15" hidden="1">
      <c r="A5" s="311"/>
      <c r="B5" s="311"/>
      <c r="C5" s="314"/>
      <c r="D5" s="314"/>
      <c r="E5" s="314"/>
      <c r="F5" s="314"/>
      <c r="G5" s="314"/>
      <c r="H5" s="314"/>
      <c r="I5" s="314"/>
      <c r="J5" s="314"/>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c r="DE5" s="311"/>
    </row>
    <row r="6" spans="1:109" ht="15" hidden="1">
      <c r="A6" s="311"/>
      <c r="B6" s="311"/>
      <c r="C6" s="314"/>
      <c r="D6" s="314"/>
      <c r="E6" s="314"/>
      <c r="F6" s="314"/>
      <c r="G6" s="311"/>
      <c r="H6" s="311"/>
      <c r="I6" s="311"/>
      <c r="J6" s="311"/>
      <c r="K6" s="311"/>
      <c r="L6" s="314"/>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11"/>
      <c r="BN6" s="311"/>
      <c r="BO6" s="311"/>
      <c r="BP6" s="311"/>
      <c r="BQ6" s="311"/>
      <c r="BR6" s="311"/>
      <c r="BS6" s="311"/>
      <c r="BT6" s="311"/>
      <c r="BU6" s="311"/>
      <c r="BV6" s="311"/>
      <c r="BW6" s="311"/>
      <c r="BX6" s="311"/>
      <c r="BY6" s="311"/>
      <c r="BZ6" s="311"/>
      <c r="CA6" s="311"/>
      <c r="CB6" s="311"/>
      <c r="CC6" s="311"/>
      <c r="CD6" s="311"/>
      <c r="CE6" s="311"/>
      <c r="CF6" s="311"/>
      <c r="CG6" s="311"/>
      <c r="CH6" s="311"/>
      <c r="CI6" s="311"/>
      <c r="CJ6" s="311"/>
      <c r="CK6" s="311"/>
      <c r="CL6" s="311"/>
      <c r="CM6" s="311"/>
      <c r="CN6" s="311"/>
      <c r="CO6" s="311"/>
      <c r="CP6" s="311"/>
      <c r="CQ6" s="311"/>
      <c r="CR6" s="311"/>
      <c r="CS6" s="311"/>
      <c r="CT6" s="311"/>
      <c r="CU6" s="311"/>
      <c r="CV6" s="311"/>
      <c r="CW6" s="311"/>
      <c r="CX6" s="311"/>
      <c r="CY6" s="311"/>
      <c r="CZ6" s="311"/>
      <c r="DA6" s="311"/>
      <c r="DB6" s="311"/>
      <c r="DC6" s="311"/>
      <c r="DD6" s="311"/>
      <c r="DE6" s="311"/>
    </row>
    <row r="7" spans="1:109" ht="15" hidden="1">
      <c r="A7" s="311"/>
      <c r="B7" s="311"/>
      <c r="C7" s="314"/>
      <c r="D7" s="314"/>
      <c r="E7" s="314"/>
      <c r="F7" s="314"/>
      <c r="G7" s="311"/>
      <c r="H7" s="311"/>
      <c r="I7" s="311"/>
      <c r="J7" s="314"/>
      <c r="K7" s="314"/>
      <c r="L7" s="314"/>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311"/>
      <c r="CD7" s="311"/>
      <c r="CE7" s="311"/>
      <c r="CF7" s="311"/>
      <c r="CG7" s="311"/>
      <c r="CH7" s="311"/>
      <c r="CI7" s="311"/>
      <c r="CJ7" s="311"/>
      <c r="CK7" s="311"/>
      <c r="CL7" s="311"/>
      <c r="CM7" s="311"/>
      <c r="CN7" s="311"/>
      <c r="CO7" s="311"/>
      <c r="CP7" s="311"/>
      <c r="CQ7" s="311"/>
      <c r="CR7" s="311"/>
      <c r="CS7" s="311"/>
      <c r="CT7" s="311"/>
      <c r="CU7" s="311"/>
      <c r="CV7" s="311"/>
      <c r="CW7" s="311"/>
      <c r="CX7" s="311"/>
      <c r="CY7" s="311"/>
      <c r="CZ7" s="311"/>
      <c r="DA7" s="311"/>
      <c r="DB7" s="311"/>
      <c r="DC7" s="311"/>
      <c r="DD7" s="311"/>
      <c r="DE7" s="311"/>
    </row>
    <row r="8" spans="1:109" ht="15" hidden="1">
      <c r="A8" s="311"/>
      <c r="B8" s="311"/>
      <c r="C8" s="314"/>
      <c r="D8" s="314"/>
      <c r="E8" s="314"/>
      <c r="F8" s="314"/>
      <c r="G8" s="314"/>
      <c r="H8" s="314"/>
      <c r="I8" s="314"/>
      <c r="J8" s="314"/>
      <c r="K8" s="314"/>
      <c r="L8" s="314"/>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1"/>
      <c r="BZ8" s="311"/>
      <c r="CA8" s="311"/>
      <c r="CB8" s="311"/>
      <c r="CC8" s="311"/>
      <c r="CD8" s="311"/>
      <c r="CE8" s="311"/>
      <c r="CF8" s="311"/>
      <c r="CG8" s="311"/>
      <c r="CH8" s="311"/>
      <c r="CI8" s="311"/>
      <c r="CJ8" s="311"/>
      <c r="CK8" s="311"/>
      <c r="CL8" s="311"/>
      <c r="CM8" s="311"/>
      <c r="CN8" s="311"/>
      <c r="CO8" s="311"/>
      <c r="CP8" s="311"/>
      <c r="CQ8" s="311"/>
      <c r="CR8" s="311"/>
      <c r="CS8" s="311"/>
      <c r="CT8" s="311"/>
      <c r="CU8" s="311"/>
      <c r="CV8" s="311"/>
      <c r="CW8" s="311"/>
      <c r="CX8" s="311"/>
      <c r="CY8" s="311"/>
      <c r="CZ8" s="311"/>
      <c r="DA8" s="311"/>
      <c r="DB8" s="311"/>
      <c r="DC8" s="311"/>
      <c r="DD8" s="311"/>
      <c r="DE8" s="311"/>
    </row>
    <row r="9" spans="1:109" ht="15.75" hidden="1">
      <c r="A9" s="315" t="s">
        <v>434</v>
      </c>
      <c r="B9" s="315" t="s">
        <v>435</v>
      </c>
      <c r="C9" s="312"/>
      <c r="D9" s="314"/>
      <c r="E9" s="312"/>
      <c r="F9" s="312"/>
      <c r="G9" s="312"/>
      <c r="H9" s="312"/>
      <c r="I9" s="312"/>
      <c r="J9" s="312"/>
      <c r="K9" s="312"/>
      <c r="L9" s="312"/>
      <c r="M9" s="312"/>
      <c r="N9" s="312"/>
      <c r="O9" s="312"/>
      <c r="P9" s="312"/>
      <c r="Q9" s="312"/>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row>
    <row r="10" spans="1:109" ht="15.75" hidden="1">
      <c r="A10" s="316">
        <f>DATA!N139</f>
        <v>94800</v>
      </c>
      <c r="B10" s="317" t="str">
        <f>IF(A10="","",CONCATENATE("  ",Q10," rupees only"))</f>
        <v>  Ninety four Thousand Eight Hundred rupees only</v>
      </c>
      <c r="C10" s="314">
        <f>INT(A10/100000)</f>
        <v>0</v>
      </c>
      <c r="D10" s="314">
        <f>INT(A10/1000-C10*100)</f>
        <v>94</v>
      </c>
      <c r="E10" s="314">
        <f>INT(A10/100-C10*1000-D10*10)</f>
        <v>8</v>
      </c>
      <c r="F10" s="314">
        <f>INT(A10-C10*100000-D10*1000-E10*100)</f>
        <v>0</v>
      </c>
      <c r="G10" s="314">
        <f aca="true" t="shared" si="0" ref="G10:H12">IF(C10=0,"",LOOKUP(C10,$G$2:$DD$2,$G$3:$DD$3))</f>
      </c>
      <c r="H10" s="314" t="str">
        <f t="shared" si="0"/>
        <v>Ninety four</v>
      </c>
      <c r="I10" s="314" t="str">
        <f>IF(E10=0,"",LOOKUP(E10,$G$2:$R$2,$G$3:$R$3))</f>
        <v>Eight</v>
      </c>
      <c r="J10" s="314">
        <f>IF(F10=0,"",LOOKUP(F10,$G$2:$DD$2,$G$3:$DD$3))</f>
      </c>
      <c r="K10" s="314">
        <f>IF(AND(E10=0,F10=0),1,2)</f>
        <v>2</v>
      </c>
      <c r="L10" s="314">
        <f>IF(F10=0,3,4)</f>
        <v>3</v>
      </c>
      <c r="M10" s="314">
        <f>IF(OR(K10=1,L10=3),5,6)</f>
        <v>5</v>
      </c>
      <c r="N10" s="314">
        <f>IF(C10&gt;1," Lakhs ",IF(C10&gt;0," Lakh ",""))</f>
      </c>
      <c r="O10" s="314" t="str">
        <f>IF(D10&gt;0," Thousand ","")</f>
        <v> Thousand </v>
      </c>
      <c r="P10" s="314" t="str">
        <f>IF(E10&gt;0," Hundred ","")</f>
        <v> Hundred </v>
      </c>
      <c r="Q10" s="318" t="str">
        <f>IF(A10=0,"Zero",IF(A10&gt;0,TRIM(CONCATENATE(G10,N10,H10,O10,I10,P10,IF(AND(A10&gt;100,M10=6)," and ",""),J10)),""))</f>
        <v>Ninety four Thousand Eight Hundred</v>
      </c>
      <c r="R10" s="319" t="s">
        <v>436</v>
      </c>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311"/>
      <c r="BY10" s="311"/>
      <c r="BZ10" s="311"/>
      <c r="CA10" s="311"/>
      <c r="CB10" s="311"/>
      <c r="CC10" s="311"/>
      <c r="CD10" s="311"/>
      <c r="CE10" s="311"/>
      <c r="CF10" s="311"/>
      <c r="CG10" s="311"/>
      <c r="CH10" s="311"/>
      <c r="CI10" s="311"/>
      <c r="CJ10" s="311"/>
      <c r="CK10" s="311"/>
      <c r="CL10" s="311"/>
      <c r="CM10" s="311"/>
      <c r="CN10" s="311"/>
      <c r="CO10" s="311"/>
      <c r="CP10" s="311"/>
      <c r="CQ10" s="311"/>
      <c r="CR10" s="311"/>
      <c r="CS10" s="311"/>
      <c r="CT10" s="311"/>
      <c r="CU10" s="311"/>
      <c r="CV10" s="311"/>
      <c r="CW10" s="311"/>
      <c r="CX10" s="311"/>
      <c r="CY10" s="311"/>
      <c r="CZ10" s="311"/>
      <c r="DA10" s="311"/>
      <c r="DB10" s="311"/>
      <c r="DC10" s="311"/>
      <c r="DD10" s="311"/>
      <c r="DE10" s="311"/>
    </row>
    <row r="11" spans="1:109" ht="15.75" hidden="1">
      <c r="A11" s="316">
        <f>DATA!N134</f>
        <v>7900</v>
      </c>
      <c r="B11" s="317" t="str">
        <f>IF(A11="","",CONCATENATE("  ",Q11," rupees only"))</f>
        <v>  Seven Thousand Nine Hundred rupees only</v>
      </c>
      <c r="C11" s="314">
        <f>INT(A11/100000)</f>
        <v>0</v>
      </c>
      <c r="D11" s="314">
        <f>INT(A11/1000-C11*100)</f>
        <v>7</v>
      </c>
      <c r="E11" s="314">
        <f>INT(A11/100-C11*1000-D11*10)</f>
        <v>9</v>
      </c>
      <c r="F11" s="314">
        <f>INT(A11-C11*100000-D11*1000-E11*100)</f>
        <v>0</v>
      </c>
      <c r="G11" s="314">
        <f t="shared" si="0"/>
      </c>
      <c r="H11" s="314" t="str">
        <f t="shared" si="0"/>
        <v>Seven</v>
      </c>
      <c r="I11" s="314" t="str">
        <f>IF(E11=0,"",LOOKUP(E11,$G$2:$R$2,$G$3:$R$3))</f>
        <v>Nine</v>
      </c>
      <c r="J11" s="314">
        <f>IF(F11=0,"",LOOKUP(F11,$G$2:$DD$2,$G$3:$DD$3))</f>
      </c>
      <c r="K11" s="314">
        <f>IF(AND(E11=0,F11=0),1,2)</f>
        <v>2</v>
      </c>
      <c r="L11" s="314">
        <f>IF(F11=0,3,4)</f>
        <v>3</v>
      </c>
      <c r="M11" s="314">
        <f>IF(OR(K11=1,L11=3),5,6)</f>
        <v>5</v>
      </c>
      <c r="N11" s="314">
        <f>IF(C11&gt;1," Lakhs ",IF(C11&gt;0," Lakh ",""))</f>
      </c>
      <c r="O11" s="314" t="str">
        <f>IF(D11&gt;0," Thousand ","")</f>
        <v> Thousand </v>
      </c>
      <c r="P11" s="314" t="str">
        <f>IF(E11&gt;0," Hundred ","")</f>
        <v> Hundred </v>
      </c>
      <c r="Q11" s="318" t="str">
        <f>IF(A11=0,"Zero",IF(A11&gt;0,TRIM(CONCATENATE(G11,N11,H11,O11,I11,P11,IF(AND(A11&gt;100,M11=6)," and ",""),J11)),""))</f>
        <v>Seven Thousand Nine Hundred</v>
      </c>
      <c r="R11" s="319" t="s">
        <v>437</v>
      </c>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A11" s="311"/>
      <c r="BB11" s="311"/>
      <c r="BC11" s="311"/>
      <c r="BD11" s="311"/>
      <c r="BE11" s="311"/>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311"/>
      <c r="CB11" s="311"/>
      <c r="CC11" s="311"/>
      <c r="CD11" s="311"/>
      <c r="CE11" s="311"/>
      <c r="CF11" s="311"/>
      <c r="CG11" s="311"/>
      <c r="CH11" s="311"/>
      <c r="CI11" s="311"/>
      <c r="CJ11" s="311"/>
      <c r="CK11" s="311"/>
      <c r="CL11" s="311"/>
      <c r="CM11" s="311"/>
      <c r="CN11" s="311"/>
      <c r="CO11" s="311"/>
      <c r="CP11" s="311"/>
      <c r="CQ11" s="311"/>
      <c r="CR11" s="311"/>
      <c r="CS11" s="311"/>
      <c r="CT11" s="311"/>
      <c r="CU11" s="311"/>
      <c r="CV11" s="311"/>
      <c r="CW11" s="311"/>
      <c r="CX11" s="311"/>
      <c r="CY11" s="311"/>
      <c r="CZ11" s="311"/>
      <c r="DA11" s="311"/>
      <c r="DB11" s="311"/>
      <c r="DC11" s="311"/>
      <c r="DD11" s="311"/>
      <c r="DE11" s="311"/>
    </row>
    <row r="12" spans="1:109" ht="15.75" hidden="1">
      <c r="A12" s="320">
        <v>0</v>
      </c>
      <c r="B12" s="317" t="str">
        <f>IF(A12="","",CONCATENATE("  ",Q12," rupees only"))</f>
        <v>  Zero rupees only</v>
      </c>
      <c r="C12" s="314">
        <f>INT(A12/100000)</f>
        <v>0</v>
      </c>
      <c r="D12" s="314">
        <f>INT(A12/1000-C12*100)</f>
        <v>0</v>
      </c>
      <c r="E12" s="314">
        <f>INT(A12/100-C12*1000-D12*10)</f>
        <v>0</v>
      </c>
      <c r="F12" s="314">
        <f>INT(A12-C12*100000-D12*1000-E12*100)</f>
        <v>0</v>
      </c>
      <c r="G12" s="314">
        <f t="shared" si="0"/>
      </c>
      <c r="H12" s="314">
        <f t="shared" si="0"/>
      </c>
      <c r="I12" s="314">
        <f>IF(E12=0,"",LOOKUP(E12,$G$2:$R$2,$G$3:$R$3))</f>
      </c>
      <c r="J12" s="314">
        <f>IF(F12=0,"",LOOKUP(F12,$G$2:$DD$2,$G$3:$DD$3))</f>
      </c>
      <c r="K12" s="314">
        <f>IF(AND(E12=0,F12=0),1,2)</f>
        <v>1</v>
      </c>
      <c r="L12" s="314">
        <f>IF(F12=0,3,4)</f>
        <v>3</v>
      </c>
      <c r="M12" s="314">
        <f>IF(OR(K12=1,L12=3),5,6)</f>
        <v>5</v>
      </c>
      <c r="N12" s="314">
        <f>IF(C12&gt;1," Lakhs ",IF(C12&gt;0," Lakh ",""))</f>
      </c>
      <c r="O12" s="314">
        <f>IF(D12&gt;0," Thousand ","")</f>
      </c>
      <c r="P12" s="314">
        <f>IF(E12&gt;0," Hundred ","")</f>
      </c>
      <c r="Q12" s="318" t="str">
        <f>IF(A12=0,"Zero",IF(A12&gt;0,TRIM(CONCATENATE(G12,N12,H12,O12,I12,P12,IF(AND(A12&gt;100,M12=6)," and ",""),J12)),""))</f>
        <v>Zero</v>
      </c>
      <c r="R12" s="319" t="s">
        <v>438</v>
      </c>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c r="BK12" s="311"/>
      <c r="BL12" s="311"/>
      <c r="BM12" s="311"/>
      <c r="BN12" s="311"/>
      <c r="BO12" s="311"/>
      <c r="BP12" s="311"/>
      <c r="BQ12" s="311"/>
      <c r="BR12" s="311"/>
      <c r="BS12" s="311"/>
      <c r="BT12" s="311"/>
      <c r="BU12" s="311"/>
      <c r="BV12" s="311"/>
      <c r="BW12" s="311"/>
      <c r="BX12" s="311"/>
      <c r="BY12" s="311"/>
      <c r="BZ12" s="311"/>
      <c r="CA12" s="311"/>
      <c r="CB12" s="311"/>
      <c r="CC12" s="311"/>
      <c r="CD12" s="311"/>
      <c r="CE12" s="311"/>
      <c r="CF12" s="311"/>
      <c r="CG12" s="311"/>
      <c r="CH12" s="311"/>
      <c r="CI12" s="311"/>
      <c r="CJ12" s="311"/>
      <c r="CK12" s="311"/>
      <c r="CL12" s="311"/>
      <c r="CM12" s="311"/>
      <c r="CN12" s="311"/>
      <c r="CO12" s="311"/>
      <c r="CP12" s="311"/>
      <c r="CQ12" s="311"/>
      <c r="CR12" s="311"/>
      <c r="CS12" s="311"/>
      <c r="CT12" s="311"/>
      <c r="CU12" s="311"/>
      <c r="CV12" s="311"/>
      <c r="CW12" s="311"/>
      <c r="CX12" s="311"/>
      <c r="CY12" s="311"/>
      <c r="CZ12" s="311"/>
      <c r="DA12" s="311"/>
      <c r="DB12" s="311"/>
      <c r="DC12" s="311"/>
      <c r="DD12" s="311"/>
      <c r="DE12" s="311"/>
    </row>
    <row r="13" ht="15" hidden="1"/>
    <row r="14" spans="2:9" ht="44.25" customHeight="1">
      <c r="B14" s="806" t="s">
        <v>309</v>
      </c>
      <c r="C14" s="806"/>
      <c r="D14" s="806"/>
      <c r="E14" s="806"/>
      <c r="F14" s="806"/>
      <c r="G14" s="806"/>
      <c r="H14" s="806"/>
      <c r="I14" s="806"/>
    </row>
    <row r="15" spans="2:9" ht="15" customHeight="1">
      <c r="B15" s="807" t="str">
        <f>CONCATENATE("                       Received  sum of Rs. ",DATA!N139,"/- ( Rupees ",B10," ) at the rate of  Rs: ",DATA!N134,"/-(Rupees ",B11,") per month towards  the House rent from April-2013 to March-2014 from ",DATA!AN3,",  ",DATA!AX3,",",DATA!AM4," of ",DATA!AT4," Mandal  who is residing in my house at the ",DATA!AM24,"")</f>
        <v>                       Received  sum of Rs. 94800/- ( Rupees   Ninety four Thousand Eight Hundred rupees only ) at the rate of  Rs: 7900/-(Rupees   Seven Thousand Nine Hundred rupees only) per month towards  the House rent from April-2013 to March-2014 from G Kishore,  SGT,MPPS Chenganapalle of Irala Mandal  who is residing in my house at the D No:1-32, Eguvarooru, G D Nellore 517125</v>
      </c>
      <c r="C15" s="807"/>
      <c r="D15" s="807"/>
      <c r="E15" s="807"/>
      <c r="F15" s="807"/>
      <c r="G15" s="807"/>
      <c r="H15" s="807"/>
      <c r="I15" s="807"/>
    </row>
    <row r="16" spans="2:9" ht="15">
      <c r="B16" s="807"/>
      <c r="C16" s="807"/>
      <c r="D16" s="807"/>
      <c r="E16" s="807"/>
      <c r="F16" s="807"/>
      <c r="G16" s="807"/>
      <c r="H16" s="807"/>
      <c r="I16" s="807"/>
    </row>
    <row r="17" spans="2:9" ht="15">
      <c r="B17" s="807"/>
      <c r="C17" s="807"/>
      <c r="D17" s="807"/>
      <c r="E17" s="807"/>
      <c r="F17" s="807"/>
      <c r="G17" s="807"/>
      <c r="H17" s="807"/>
      <c r="I17" s="807"/>
    </row>
    <row r="18" spans="2:9" ht="15">
      <c r="B18" s="807"/>
      <c r="C18" s="807"/>
      <c r="D18" s="807"/>
      <c r="E18" s="807"/>
      <c r="F18" s="807"/>
      <c r="G18" s="807"/>
      <c r="H18" s="807"/>
      <c r="I18" s="807"/>
    </row>
    <row r="19" spans="2:9" ht="15">
      <c r="B19" s="807"/>
      <c r="C19" s="807"/>
      <c r="D19" s="807"/>
      <c r="E19" s="807"/>
      <c r="F19" s="807"/>
      <c r="G19" s="807"/>
      <c r="H19" s="807"/>
      <c r="I19" s="807"/>
    </row>
    <row r="20" spans="2:128" ht="162" customHeight="1">
      <c r="B20" s="807"/>
      <c r="C20" s="807"/>
      <c r="D20" s="807"/>
      <c r="E20" s="807"/>
      <c r="F20" s="807"/>
      <c r="G20" s="807"/>
      <c r="H20" s="807"/>
      <c r="I20" s="807"/>
      <c r="T20" s="32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311"/>
      <c r="CJ20" s="311"/>
      <c r="CK20" s="311"/>
      <c r="CL20" s="311"/>
      <c r="CM20" s="311"/>
      <c r="CN20" s="311"/>
      <c r="CO20" s="311"/>
      <c r="CP20" s="311"/>
      <c r="CQ20" s="311"/>
      <c r="CR20" s="311"/>
      <c r="CS20" s="311"/>
      <c r="CT20" s="311"/>
      <c r="CU20" s="311"/>
      <c r="CV20" s="311"/>
      <c r="CW20" s="311"/>
      <c r="CX20" s="311"/>
      <c r="CY20" s="311"/>
      <c r="CZ20" s="311"/>
      <c r="DA20" s="311"/>
      <c r="DB20" s="311"/>
      <c r="DC20" s="311"/>
      <c r="DD20" s="311"/>
      <c r="DE20" s="311"/>
      <c r="DF20" s="311"/>
      <c r="DG20" s="311"/>
      <c r="DH20" s="311"/>
      <c r="DI20" s="311"/>
      <c r="DJ20" s="311"/>
      <c r="DK20" s="311"/>
      <c r="DL20" s="311"/>
      <c r="DM20" s="311"/>
      <c r="DN20" s="311"/>
      <c r="DO20" s="311"/>
      <c r="DP20" s="311"/>
      <c r="DQ20" s="311"/>
      <c r="DR20" s="311"/>
      <c r="DS20" s="311"/>
      <c r="DT20" s="311"/>
      <c r="DU20" s="311"/>
      <c r="DV20" s="311"/>
      <c r="DW20" s="311"/>
      <c r="DX20" s="311"/>
    </row>
    <row r="21" spans="2:128" ht="29.25" customHeight="1">
      <c r="B21" s="223"/>
      <c r="C21" s="223"/>
      <c r="D21" s="223"/>
      <c r="E21" s="223"/>
      <c r="F21" s="223"/>
      <c r="G21" s="223"/>
      <c r="H21" s="223"/>
      <c r="I21" s="223"/>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11"/>
      <c r="CA21" s="311"/>
      <c r="CB21" s="311"/>
      <c r="CC21" s="311"/>
      <c r="CD21" s="311"/>
      <c r="CE21" s="311"/>
      <c r="CF21" s="311"/>
      <c r="CG21" s="311"/>
      <c r="CH21" s="311"/>
      <c r="CI21" s="311"/>
      <c r="CJ21" s="311"/>
      <c r="CK21" s="311"/>
      <c r="CL21" s="311"/>
      <c r="CM21" s="311"/>
      <c r="CN21" s="311"/>
      <c r="CO21" s="311"/>
      <c r="CP21" s="311"/>
      <c r="CQ21" s="311"/>
      <c r="CR21" s="311"/>
      <c r="CS21" s="311"/>
      <c r="CT21" s="311"/>
      <c r="CU21" s="311"/>
      <c r="CV21" s="311"/>
      <c r="CW21" s="311"/>
      <c r="CX21" s="311"/>
      <c r="CY21" s="311"/>
      <c r="CZ21" s="311"/>
      <c r="DA21" s="311"/>
      <c r="DB21" s="311"/>
      <c r="DC21" s="311"/>
      <c r="DD21" s="311"/>
      <c r="DE21" s="311"/>
      <c r="DF21" s="311"/>
      <c r="DG21" s="311"/>
      <c r="DH21" s="311"/>
      <c r="DI21" s="311"/>
      <c r="DJ21" s="311"/>
      <c r="DK21" s="311"/>
      <c r="DL21" s="311"/>
      <c r="DM21" s="311"/>
      <c r="DN21" s="311"/>
      <c r="DO21" s="311"/>
      <c r="DP21" s="311"/>
      <c r="DQ21" s="311"/>
      <c r="DR21" s="311"/>
      <c r="DS21" s="311"/>
      <c r="DT21" s="311"/>
      <c r="DU21" s="311"/>
      <c r="DV21" s="311"/>
      <c r="DW21" s="311"/>
      <c r="DX21" s="311"/>
    </row>
    <row r="22" spans="2:128" ht="15" hidden="1">
      <c r="B22" s="223"/>
      <c r="C22" s="223"/>
      <c r="D22" s="223"/>
      <c r="E22" s="223"/>
      <c r="F22" s="223"/>
      <c r="G22" s="223"/>
      <c r="H22" s="223"/>
      <c r="I22" s="223"/>
      <c r="V22" s="311"/>
      <c r="W22" s="311"/>
      <c r="X22" s="311"/>
      <c r="Y22" s="311"/>
      <c r="Z22" s="311"/>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312"/>
      <c r="CO22" s="312"/>
      <c r="CP22" s="312"/>
      <c r="CQ22" s="312"/>
      <c r="CR22" s="312"/>
      <c r="CS22" s="312"/>
      <c r="CT22" s="312"/>
      <c r="CU22" s="312"/>
      <c r="CV22" s="312"/>
      <c r="CW22" s="312"/>
      <c r="CX22" s="312"/>
      <c r="CY22" s="312"/>
      <c r="CZ22" s="312"/>
      <c r="DA22" s="312"/>
      <c r="DB22" s="312"/>
      <c r="DC22" s="312"/>
      <c r="DD22" s="312"/>
      <c r="DE22" s="312"/>
      <c r="DF22" s="312"/>
      <c r="DG22" s="312"/>
      <c r="DH22" s="312"/>
      <c r="DI22" s="312"/>
      <c r="DJ22" s="312"/>
      <c r="DK22" s="312"/>
      <c r="DL22" s="312"/>
      <c r="DM22" s="312"/>
      <c r="DN22" s="312"/>
      <c r="DO22" s="312"/>
      <c r="DP22" s="312"/>
      <c r="DQ22" s="312"/>
      <c r="DR22" s="312"/>
      <c r="DS22" s="312"/>
      <c r="DT22" s="312"/>
      <c r="DU22" s="312"/>
      <c r="DV22" s="312"/>
      <c r="DW22" s="312"/>
      <c r="DX22" s="311"/>
    </row>
    <row r="23" spans="2:128" ht="35.25" customHeight="1">
      <c r="B23" s="223"/>
      <c r="C23" s="223"/>
      <c r="D23" s="223"/>
      <c r="E23" s="223"/>
      <c r="F23" s="805" t="s">
        <v>310</v>
      </c>
      <c r="G23" s="805"/>
      <c r="H23" s="805"/>
      <c r="I23" s="805"/>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311"/>
      <c r="CD23" s="311"/>
      <c r="CE23" s="311"/>
      <c r="CF23" s="311"/>
      <c r="CG23" s="311"/>
      <c r="CH23" s="311"/>
      <c r="CI23" s="311"/>
      <c r="CJ23" s="311"/>
      <c r="CK23" s="311"/>
      <c r="CL23" s="311"/>
      <c r="CM23" s="311"/>
      <c r="CN23" s="311"/>
      <c r="CO23" s="311"/>
      <c r="CP23" s="311"/>
      <c r="CQ23" s="311"/>
      <c r="CR23" s="311"/>
      <c r="CS23" s="311"/>
      <c r="CT23" s="311"/>
      <c r="CU23" s="311"/>
      <c r="CV23" s="311"/>
      <c r="CW23" s="311"/>
      <c r="CX23" s="311"/>
      <c r="CY23" s="311"/>
      <c r="CZ23" s="311"/>
      <c r="DA23" s="311"/>
      <c r="DB23" s="311"/>
      <c r="DC23" s="311"/>
      <c r="DD23" s="311"/>
      <c r="DE23" s="311"/>
      <c r="DF23" s="311"/>
      <c r="DG23" s="311"/>
      <c r="DH23" s="311"/>
      <c r="DI23" s="311"/>
      <c r="DJ23" s="311"/>
      <c r="DK23" s="311"/>
      <c r="DL23" s="311"/>
      <c r="DM23" s="311"/>
      <c r="DN23" s="311"/>
      <c r="DO23" s="311"/>
      <c r="DP23" s="311"/>
      <c r="DQ23" s="311"/>
      <c r="DR23" s="311"/>
      <c r="DS23" s="311"/>
      <c r="DT23" s="311"/>
      <c r="DU23" s="311"/>
      <c r="DV23" s="311"/>
      <c r="DW23" s="311"/>
      <c r="DX23" s="311"/>
    </row>
    <row r="24" spans="2:128" ht="114.75" customHeight="1">
      <c r="B24" s="223"/>
      <c r="C24" s="223"/>
      <c r="D24" s="223"/>
      <c r="E24" s="223"/>
      <c r="F24" s="223"/>
      <c r="G24" s="223"/>
      <c r="H24" s="223"/>
      <c r="I24" s="223"/>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1"/>
      <c r="BZ24" s="311"/>
      <c r="CA24" s="311"/>
      <c r="CB24" s="311"/>
      <c r="CC24" s="311"/>
      <c r="CD24" s="311"/>
      <c r="CE24" s="311"/>
      <c r="CF24" s="311"/>
      <c r="CG24" s="311"/>
      <c r="CH24" s="311"/>
      <c r="CI24" s="311"/>
      <c r="CJ24" s="311"/>
      <c r="CK24" s="311"/>
      <c r="CL24" s="311"/>
      <c r="CM24" s="311"/>
      <c r="CN24" s="311"/>
      <c r="CO24" s="311"/>
      <c r="CP24" s="311"/>
      <c r="CQ24" s="311"/>
      <c r="CR24" s="311"/>
      <c r="CS24" s="311"/>
      <c r="CT24" s="311"/>
      <c r="CU24" s="311"/>
      <c r="CV24" s="311"/>
      <c r="CW24" s="311"/>
      <c r="CX24" s="311"/>
      <c r="CY24" s="311"/>
      <c r="CZ24" s="311"/>
      <c r="DA24" s="311"/>
      <c r="DB24" s="311"/>
      <c r="DC24" s="311"/>
      <c r="DD24" s="311"/>
      <c r="DE24" s="311"/>
      <c r="DF24" s="311"/>
      <c r="DG24" s="311"/>
      <c r="DH24" s="311"/>
      <c r="DI24" s="311"/>
      <c r="DJ24" s="311"/>
      <c r="DK24" s="311"/>
      <c r="DL24" s="311"/>
      <c r="DM24" s="311"/>
      <c r="DN24" s="311"/>
      <c r="DO24" s="311"/>
      <c r="DP24" s="311"/>
      <c r="DQ24" s="311"/>
      <c r="DR24" s="311"/>
      <c r="DS24" s="311"/>
      <c r="DT24" s="311"/>
      <c r="DU24" s="311"/>
      <c r="DV24" s="311"/>
      <c r="DW24" s="311"/>
      <c r="DX24" s="311"/>
    </row>
    <row r="25" spans="2:128" ht="15" hidden="1">
      <c r="B25" s="223"/>
      <c r="C25" s="223"/>
      <c r="D25" s="223"/>
      <c r="E25" s="223"/>
      <c r="F25" s="223"/>
      <c r="G25" s="223"/>
      <c r="H25" s="223"/>
      <c r="I25" s="223"/>
      <c r="V25" s="311"/>
      <c r="W25" s="311"/>
      <c r="X25" s="311"/>
      <c r="Y25" s="311"/>
      <c r="Z25" s="311"/>
      <c r="AA25" s="311"/>
      <c r="AB25" s="311"/>
      <c r="AC25" s="311"/>
      <c r="AD25" s="311"/>
      <c r="AE25" s="311"/>
      <c r="AF25" s="311"/>
      <c r="AG25" s="311"/>
      <c r="AH25" s="311"/>
      <c r="AI25" s="311"/>
      <c r="AJ25" s="311"/>
      <c r="AK25" s="803"/>
      <c r="AL25" s="803"/>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311"/>
      <c r="BR25" s="311"/>
      <c r="BS25" s="311"/>
      <c r="BT25" s="311"/>
      <c r="BU25" s="311"/>
      <c r="BV25" s="311"/>
      <c r="BW25" s="311"/>
      <c r="BX25" s="311"/>
      <c r="BY25" s="311"/>
      <c r="BZ25" s="311"/>
      <c r="CA25" s="311"/>
      <c r="CB25" s="311"/>
      <c r="CC25" s="311"/>
      <c r="CD25" s="311"/>
      <c r="CE25" s="311"/>
      <c r="CF25" s="311"/>
      <c r="CG25" s="311"/>
      <c r="CH25" s="311"/>
      <c r="CI25" s="311"/>
      <c r="CJ25" s="311"/>
      <c r="CK25" s="311"/>
      <c r="CL25" s="311"/>
      <c r="CM25" s="311"/>
      <c r="CN25" s="311"/>
      <c r="CO25" s="311"/>
      <c r="CP25" s="311"/>
      <c r="CQ25" s="311"/>
      <c r="CR25" s="311"/>
      <c r="CS25" s="311"/>
      <c r="CT25" s="311"/>
      <c r="CU25" s="311"/>
      <c r="CV25" s="311"/>
      <c r="CW25" s="311"/>
      <c r="CX25" s="311"/>
      <c r="CY25" s="311"/>
      <c r="CZ25" s="311"/>
      <c r="DA25" s="311"/>
      <c r="DB25" s="311"/>
      <c r="DC25" s="311"/>
      <c r="DD25" s="311"/>
      <c r="DE25" s="311"/>
      <c r="DF25" s="311"/>
      <c r="DG25" s="311"/>
      <c r="DH25" s="311"/>
      <c r="DI25" s="311"/>
      <c r="DJ25" s="311"/>
      <c r="DK25" s="311"/>
      <c r="DL25" s="311"/>
      <c r="DM25" s="311"/>
      <c r="DN25" s="311"/>
      <c r="DO25" s="311"/>
      <c r="DP25" s="311"/>
      <c r="DQ25" s="311"/>
      <c r="DR25" s="311"/>
      <c r="DS25" s="311"/>
      <c r="DT25" s="311"/>
      <c r="DU25" s="311"/>
      <c r="DV25" s="311"/>
      <c r="DW25" s="311"/>
      <c r="DX25" s="311"/>
    </row>
    <row r="26" spans="22:128" ht="15" hidden="1">
      <c r="V26" s="311"/>
      <c r="W26" s="311"/>
      <c r="X26" s="311"/>
      <c r="Y26" s="311"/>
      <c r="Z26" s="311"/>
      <c r="AA26" s="311"/>
      <c r="AB26" s="311"/>
      <c r="AC26" s="311"/>
      <c r="AD26" s="311"/>
      <c r="AE26" s="311"/>
      <c r="AF26" s="311"/>
      <c r="AG26" s="311"/>
      <c r="AH26" s="311"/>
      <c r="AI26" s="311"/>
      <c r="AJ26" s="311"/>
      <c r="AK26" s="801"/>
      <c r="AL26" s="804"/>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311"/>
      <c r="CC26" s="311"/>
      <c r="CD26" s="311"/>
      <c r="CE26" s="311"/>
      <c r="CF26" s="311"/>
      <c r="CG26" s="311"/>
      <c r="CH26" s="311"/>
      <c r="CI26" s="311"/>
      <c r="CJ26" s="311"/>
      <c r="CK26" s="311"/>
      <c r="CL26" s="311"/>
      <c r="CM26" s="311"/>
      <c r="CN26" s="311"/>
      <c r="CO26" s="311"/>
      <c r="CP26" s="311"/>
      <c r="CQ26" s="311"/>
      <c r="CR26" s="311"/>
      <c r="CS26" s="311"/>
      <c r="CT26" s="311"/>
      <c r="CU26" s="311"/>
      <c r="CV26" s="311"/>
      <c r="CW26" s="311"/>
      <c r="CX26" s="311"/>
      <c r="CY26" s="311"/>
      <c r="CZ26" s="311"/>
      <c r="DA26" s="311"/>
      <c r="DB26" s="311"/>
      <c r="DC26" s="311"/>
      <c r="DD26" s="311"/>
      <c r="DE26" s="311"/>
      <c r="DF26" s="311"/>
      <c r="DG26" s="311"/>
      <c r="DH26" s="311"/>
      <c r="DI26" s="311"/>
      <c r="DJ26" s="311"/>
      <c r="DK26" s="311"/>
      <c r="DL26" s="311"/>
      <c r="DM26" s="311"/>
      <c r="DN26" s="311"/>
      <c r="DO26" s="311"/>
      <c r="DP26" s="311"/>
      <c r="DQ26" s="311"/>
      <c r="DR26" s="311"/>
      <c r="DS26" s="311"/>
      <c r="DT26" s="311"/>
      <c r="DU26" s="311"/>
      <c r="DV26" s="311"/>
      <c r="DW26" s="311"/>
      <c r="DX26" s="311"/>
    </row>
    <row r="27" spans="22:128" ht="40.5" customHeight="1">
      <c r="V27" s="311"/>
      <c r="W27" s="311"/>
      <c r="X27" s="311"/>
      <c r="Y27" s="311"/>
      <c r="Z27" s="311"/>
      <c r="AA27" s="311"/>
      <c r="AB27" s="311"/>
      <c r="AC27" s="311"/>
      <c r="AD27" s="311"/>
      <c r="AE27" s="311"/>
      <c r="AF27" s="311"/>
      <c r="AG27" s="311"/>
      <c r="AH27" s="311"/>
      <c r="AI27" s="311"/>
      <c r="AJ27" s="311"/>
      <c r="AK27" s="799"/>
      <c r="AL27" s="800"/>
      <c r="AM27" s="311"/>
      <c r="AN27" s="311"/>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1"/>
      <c r="CA27" s="311"/>
      <c r="CB27" s="311"/>
      <c r="CC27" s="311"/>
      <c r="CD27" s="311"/>
      <c r="CE27" s="311"/>
      <c r="CF27" s="311"/>
      <c r="CG27" s="311"/>
      <c r="CH27" s="311"/>
      <c r="CI27" s="311"/>
      <c r="CJ27" s="311"/>
      <c r="CK27" s="311"/>
      <c r="CL27" s="311"/>
      <c r="CM27" s="311"/>
      <c r="CN27" s="311"/>
      <c r="CO27" s="311"/>
      <c r="CP27" s="311"/>
      <c r="CQ27" s="311"/>
      <c r="CR27" s="311"/>
      <c r="CS27" s="311"/>
      <c r="CT27" s="311"/>
      <c r="CU27" s="311"/>
      <c r="CV27" s="311"/>
      <c r="CW27" s="311"/>
      <c r="CX27" s="311"/>
      <c r="CY27" s="311"/>
      <c r="CZ27" s="311"/>
      <c r="DA27" s="311"/>
      <c r="DB27" s="311"/>
      <c r="DC27" s="311"/>
      <c r="DD27" s="311"/>
      <c r="DE27" s="311"/>
      <c r="DF27" s="311"/>
      <c r="DG27" s="311"/>
      <c r="DH27" s="311"/>
      <c r="DI27" s="311"/>
      <c r="DJ27" s="311"/>
      <c r="DK27" s="311"/>
      <c r="DL27" s="311"/>
      <c r="DM27" s="311"/>
      <c r="DN27" s="311"/>
      <c r="DO27" s="311"/>
      <c r="DP27" s="311"/>
      <c r="DQ27" s="311"/>
      <c r="DR27" s="311"/>
      <c r="DS27" s="311"/>
      <c r="DT27" s="311"/>
      <c r="DU27" s="311"/>
      <c r="DV27" s="311"/>
      <c r="DW27" s="311"/>
      <c r="DX27" s="311"/>
    </row>
    <row r="28" spans="2:128" ht="32.25" customHeight="1">
      <c r="B28" s="806" t="s">
        <v>309</v>
      </c>
      <c r="C28" s="806"/>
      <c r="D28" s="806"/>
      <c r="E28" s="806"/>
      <c r="F28" s="806"/>
      <c r="G28" s="806"/>
      <c r="H28" s="806"/>
      <c r="I28" s="806"/>
      <c r="V28" s="311"/>
      <c r="W28" s="311"/>
      <c r="X28" s="311"/>
      <c r="Y28" s="311"/>
      <c r="Z28" s="311"/>
      <c r="AA28" s="311"/>
      <c r="AB28" s="311"/>
      <c r="AC28" s="311"/>
      <c r="AD28" s="311"/>
      <c r="AE28" s="311"/>
      <c r="AF28" s="311"/>
      <c r="AG28" s="311"/>
      <c r="AH28" s="311"/>
      <c r="AI28" s="311"/>
      <c r="AJ28" s="311"/>
      <c r="AK28" s="801"/>
      <c r="AL28" s="802"/>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11"/>
      <c r="BS28" s="311"/>
      <c r="BT28" s="311"/>
      <c r="BU28" s="311"/>
      <c r="BV28" s="311"/>
      <c r="BW28" s="311"/>
      <c r="BX28" s="311"/>
      <c r="BY28" s="311"/>
      <c r="BZ28" s="311"/>
      <c r="CA28" s="311"/>
      <c r="CB28" s="311"/>
      <c r="CC28" s="311"/>
      <c r="CD28" s="311"/>
      <c r="CE28" s="311"/>
      <c r="CF28" s="311"/>
      <c r="CG28" s="311"/>
      <c r="CH28" s="311"/>
      <c r="CI28" s="311"/>
      <c r="CJ28" s="311"/>
      <c r="CK28" s="311"/>
      <c r="CL28" s="311"/>
      <c r="CM28" s="311"/>
      <c r="CN28" s="311"/>
      <c r="CO28" s="311"/>
      <c r="CP28" s="311"/>
      <c r="CQ28" s="311"/>
      <c r="CR28" s="311"/>
      <c r="CS28" s="311"/>
      <c r="CT28" s="311"/>
      <c r="CU28" s="311"/>
      <c r="CV28" s="311"/>
      <c r="CW28" s="311"/>
      <c r="CX28" s="311"/>
      <c r="CY28" s="311"/>
      <c r="CZ28" s="311"/>
      <c r="DA28" s="311"/>
      <c r="DB28" s="311"/>
      <c r="DC28" s="311"/>
      <c r="DD28" s="311"/>
      <c r="DE28" s="311"/>
      <c r="DF28" s="311"/>
      <c r="DG28" s="311"/>
      <c r="DH28" s="311"/>
      <c r="DI28" s="311"/>
      <c r="DJ28" s="311"/>
      <c r="DK28" s="311"/>
      <c r="DL28" s="311"/>
      <c r="DM28" s="311"/>
      <c r="DN28" s="311"/>
      <c r="DO28" s="311"/>
      <c r="DP28" s="311"/>
      <c r="DQ28" s="311"/>
      <c r="DR28" s="311"/>
      <c r="DS28" s="311"/>
      <c r="DT28" s="311"/>
      <c r="DU28" s="311"/>
      <c r="DV28" s="311"/>
      <c r="DW28" s="311"/>
      <c r="DX28" s="311"/>
    </row>
    <row r="29" spans="2:128" ht="15" customHeight="1">
      <c r="B29" s="807" t="str">
        <f>CONCATENATE("                       Received  sum of Rs. ",DATA!N139,"/- ( Rupees ",B10," ) at the rate of  Rs: ",DATA!N134,"/-(Rupees ",B11,")per month towards  the House rent from April-2013 to March-2014 from ",DATA!AN3,",  ",DATA!AX3,",",DATA!AM4," of ",DATA!AT4," Mandal  who is residing in my house at the ",DATA!AM24,"")</f>
        <v>                       Received  sum of Rs. 94800/- ( Rupees   Ninety four Thousand Eight Hundred rupees only ) at the rate of  Rs: 7900/-(Rupees   Seven Thousand Nine Hundred rupees only)per month towards  the House rent from April-2013 to March-2014 from G Kishore,  SGT,MPPS Chenganapalle of Irala Mandal  who is residing in my house at the D No:1-32, Eguvarooru, G D Nellore 517125</v>
      </c>
      <c r="C29" s="807"/>
      <c r="D29" s="807"/>
      <c r="E29" s="807"/>
      <c r="F29" s="807"/>
      <c r="G29" s="807"/>
      <c r="H29" s="807"/>
      <c r="I29" s="807"/>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c r="CG29" s="311"/>
      <c r="CH29" s="311"/>
      <c r="CI29" s="311"/>
      <c r="CJ29" s="311"/>
      <c r="CK29" s="311"/>
      <c r="CL29" s="311"/>
      <c r="CM29" s="311"/>
      <c r="CN29" s="311"/>
      <c r="CO29" s="311"/>
      <c r="CP29" s="311"/>
      <c r="CQ29" s="311"/>
      <c r="CR29" s="311"/>
      <c r="CS29" s="311"/>
      <c r="CT29" s="311"/>
      <c r="CU29" s="311"/>
      <c r="CV29" s="311"/>
      <c r="CW29" s="311"/>
      <c r="CX29" s="311"/>
      <c r="CY29" s="311"/>
      <c r="CZ29" s="311"/>
      <c r="DA29" s="311"/>
      <c r="DB29" s="311"/>
      <c r="DC29" s="311"/>
      <c r="DD29" s="311"/>
      <c r="DE29" s="311"/>
      <c r="DF29" s="311"/>
      <c r="DG29" s="311"/>
      <c r="DH29" s="311"/>
      <c r="DI29" s="311"/>
      <c r="DJ29" s="311"/>
      <c r="DK29" s="311"/>
      <c r="DL29" s="311"/>
      <c r="DM29" s="311"/>
      <c r="DN29" s="311"/>
      <c r="DO29" s="311"/>
      <c r="DP29" s="311"/>
      <c r="DQ29" s="311"/>
      <c r="DR29" s="311"/>
      <c r="DS29" s="311"/>
      <c r="DT29" s="311"/>
      <c r="DU29" s="311"/>
      <c r="DV29" s="311"/>
      <c r="DW29" s="311"/>
      <c r="DX29" s="311"/>
    </row>
    <row r="30" spans="2:128" ht="15" customHeight="1">
      <c r="B30" s="807"/>
      <c r="C30" s="807"/>
      <c r="D30" s="807"/>
      <c r="E30" s="807"/>
      <c r="F30" s="807"/>
      <c r="G30" s="807"/>
      <c r="H30" s="807"/>
      <c r="I30" s="807"/>
      <c r="V30" s="314"/>
      <c r="W30" s="314"/>
      <c r="X30" s="314"/>
      <c r="Y30" s="314"/>
      <c r="Z30" s="314"/>
      <c r="AA30" s="314"/>
      <c r="AB30" s="314"/>
      <c r="AC30" s="314"/>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1"/>
      <c r="BX30" s="311"/>
      <c r="BY30" s="311"/>
      <c r="BZ30" s="311"/>
      <c r="CA30" s="311"/>
      <c r="CB30" s="311"/>
      <c r="CC30" s="311"/>
      <c r="CD30" s="311"/>
      <c r="CE30" s="311"/>
      <c r="CF30" s="311"/>
      <c r="CG30" s="311"/>
      <c r="CH30" s="311"/>
      <c r="CI30" s="311"/>
      <c r="CJ30" s="311"/>
      <c r="CK30" s="311"/>
      <c r="CL30" s="311"/>
      <c r="CM30" s="311"/>
      <c r="CN30" s="311"/>
      <c r="CO30" s="311"/>
      <c r="CP30" s="311"/>
      <c r="CQ30" s="311"/>
      <c r="CR30" s="311"/>
      <c r="CS30" s="311"/>
      <c r="CT30" s="311"/>
      <c r="CU30" s="311"/>
      <c r="CV30" s="311"/>
      <c r="CW30" s="311"/>
      <c r="CX30" s="311"/>
      <c r="CY30" s="311"/>
      <c r="CZ30" s="311"/>
      <c r="DA30" s="311"/>
      <c r="DB30" s="311"/>
      <c r="DC30" s="311"/>
      <c r="DD30" s="311"/>
      <c r="DE30" s="311"/>
      <c r="DF30" s="311"/>
      <c r="DG30" s="311"/>
      <c r="DH30" s="311"/>
      <c r="DI30" s="311"/>
      <c r="DJ30" s="311"/>
      <c r="DK30" s="311"/>
      <c r="DL30" s="311"/>
      <c r="DM30" s="311"/>
      <c r="DN30" s="311"/>
      <c r="DO30" s="311"/>
      <c r="DP30" s="311"/>
      <c r="DQ30" s="311"/>
      <c r="DR30" s="311"/>
      <c r="DS30" s="311"/>
      <c r="DT30" s="311"/>
      <c r="DU30" s="311"/>
      <c r="DV30" s="311"/>
      <c r="DW30" s="311"/>
      <c r="DX30" s="311"/>
    </row>
    <row r="31" spans="2:128" ht="15" customHeight="1">
      <c r="B31" s="807"/>
      <c r="C31" s="807"/>
      <c r="D31" s="807"/>
      <c r="E31" s="807"/>
      <c r="F31" s="807"/>
      <c r="G31" s="807"/>
      <c r="H31" s="807"/>
      <c r="I31" s="807"/>
      <c r="V31" s="314"/>
      <c r="W31" s="314"/>
      <c r="X31" s="314"/>
      <c r="Y31" s="314"/>
      <c r="Z31" s="311"/>
      <c r="AA31" s="311"/>
      <c r="AB31" s="311"/>
      <c r="AC31" s="311"/>
      <c r="AD31" s="311"/>
      <c r="AE31" s="314"/>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1"/>
      <c r="CA31" s="311"/>
      <c r="CB31" s="311"/>
      <c r="CC31" s="311"/>
      <c r="CD31" s="311"/>
      <c r="CE31" s="311"/>
      <c r="CF31" s="311"/>
      <c r="CG31" s="311"/>
      <c r="CH31" s="311"/>
      <c r="CI31" s="311"/>
      <c r="CJ31" s="311"/>
      <c r="CK31" s="311"/>
      <c r="CL31" s="311"/>
      <c r="CM31" s="311"/>
      <c r="CN31" s="311"/>
      <c r="CO31" s="311"/>
      <c r="CP31" s="311"/>
      <c r="CQ31" s="311"/>
      <c r="CR31" s="311"/>
      <c r="CS31" s="311"/>
      <c r="CT31" s="311"/>
      <c r="CU31" s="311"/>
      <c r="CV31" s="311"/>
      <c r="CW31" s="311"/>
      <c r="CX31" s="311"/>
      <c r="CY31" s="311"/>
      <c r="CZ31" s="311"/>
      <c r="DA31" s="311"/>
      <c r="DB31" s="311"/>
      <c r="DC31" s="311"/>
      <c r="DD31" s="311"/>
      <c r="DE31" s="311"/>
      <c r="DF31" s="311"/>
      <c r="DG31" s="311"/>
      <c r="DH31" s="311"/>
      <c r="DI31" s="311"/>
      <c r="DJ31" s="311"/>
      <c r="DK31" s="311"/>
      <c r="DL31" s="311"/>
      <c r="DM31" s="311"/>
      <c r="DN31" s="311"/>
      <c r="DO31" s="311"/>
      <c r="DP31" s="311"/>
      <c r="DQ31" s="311"/>
      <c r="DR31" s="311"/>
      <c r="DS31" s="311"/>
      <c r="DT31" s="311"/>
      <c r="DU31" s="311"/>
      <c r="DV31" s="311"/>
      <c r="DW31" s="311"/>
      <c r="DX31" s="311"/>
    </row>
    <row r="32" spans="2:128" ht="15" customHeight="1">
      <c r="B32" s="807"/>
      <c r="C32" s="807"/>
      <c r="D32" s="807"/>
      <c r="E32" s="807"/>
      <c r="F32" s="807"/>
      <c r="G32" s="807"/>
      <c r="H32" s="807"/>
      <c r="I32" s="807"/>
      <c r="V32" s="314"/>
      <c r="W32" s="314"/>
      <c r="X32" s="314"/>
      <c r="Y32" s="314"/>
      <c r="Z32" s="311"/>
      <c r="AA32" s="311"/>
      <c r="AB32" s="311"/>
      <c r="AC32" s="314"/>
      <c r="AD32" s="314"/>
      <c r="AE32" s="314"/>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S32" s="311"/>
      <c r="BT32" s="311"/>
      <c r="BU32" s="311"/>
      <c r="BV32" s="311"/>
      <c r="BW32" s="311"/>
      <c r="BX32" s="311"/>
      <c r="BY32" s="311"/>
      <c r="BZ32" s="311"/>
      <c r="CA32" s="311"/>
      <c r="CB32" s="311"/>
      <c r="CC32" s="311"/>
      <c r="CD32" s="311"/>
      <c r="CE32" s="311"/>
      <c r="CF32" s="311"/>
      <c r="CG32" s="311"/>
      <c r="CH32" s="311"/>
      <c r="CI32" s="311"/>
      <c r="CJ32" s="311"/>
      <c r="CK32" s="311"/>
      <c r="CL32" s="311"/>
      <c r="CM32" s="311"/>
      <c r="CN32" s="311"/>
      <c r="CO32" s="311"/>
      <c r="CP32" s="311"/>
      <c r="CQ32" s="311"/>
      <c r="CR32" s="311"/>
      <c r="CS32" s="311"/>
      <c r="CT32" s="311"/>
      <c r="CU32" s="311"/>
      <c r="CV32" s="311"/>
      <c r="CW32" s="311"/>
      <c r="CX32" s="311"/>
      <c r="CY32" s="311"/>
      <c r="CZ32" s="311"/>
      <c r="DA32" s="311"/>
      <c r="DB32" s="311"/>
      <c r="DC32" s="311"/>
      <c r="DD32" s="311"/>
      <c r="DE32" s="311"/>
      <c r="DF32" s="311"/>
      <c r="DG32" s="311"/>
      <c r="DH32" s="311"/>
      <c r="DI32" s="311"/>
      <c r="DJ32" s="311"/>
      <c r="DK32" s="311"/>
      <c r="DL32" s="311"/>
      <c r="DM32" s="311"/>
      <c r="DN32" s="311"/>
      <c r="DO32" s="311"/>
      <c r="DP32" s="311"/>
      <c r="DQ32" s="311"/>
      <c r="DR32" s="311"/>
      <c r="DS32" s="311"/>
      <c r="DT32" s="311"/>
      <c r="DU32" s="311"/>
      <c r="DV32" s="311"/>
      <c r="DW32" s="311"/>
      <c r="DX32" s="311"/>
    </row>
    <row r="33" spans="2:128" ht="15" customHeight="1">
      <c r="B33" s="807"/>
      <c r="C33" s="807"/>
      <c r="D33" s="807"/>
      <c r="E33" s="807"/>
      <c r="F33" s="807"/>
      <c r="G33" s="807"/>
      <c r="H33" s="807"/>
      <c r="I33" s="807"/>
      <c r="V33" s="314"/>
      <c r="W33" s="314"/>
      <c r="X33" s="314"/>
      <c r="Y33" s="314"/>
      <c r="Z33" s="314"/>
      <c r="AA33" s="314"/>
      <c r="AB33" s="314"/>
      <c r="AC33" s="314"/>
      <c r="AD33" s="314"/>
      <c r="AE33" s="314"/>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1"/>
      <c r="BZ33" s="311"/>
      <c r="CA33" s="311"/>
      <c r="CB33" s="311"/>
      <c r="CC33" s="311"/>
      <c r="CD33" s="311"/>
      <c r="CE33" s="311"/>
      <c r="CF33" s="311"/>
      <c r="CG33" s="311"/>
      <c r="CH33" s="311"/>
      <c r="CI33" s="311"/>
      <c r="CJ33" s="311"/>
      <c r="CK33" s="311"/>
      <c r="CL33" s="311"/>
      <c r="CM33" s="311"/>
      <c r="CN33" s="311"/>
      <c r="CO33" s="311"/>
      <c r="CP33" s="311"/>
      <c r="CQ33" s="311"/>
      <c r="CR33" s="311"/>
      <c r="CS33" s="311"/>
      <c r="CT33" s="311"/>
      <c r="CU33" s="311"/>
      <c r="CV33" s="311"/>
      <c r="CW33" s="311"/>
      <c r="CX33" s="311"/>
      <c r="CY33" s="311"/>
      <c r="CZ33" s="311"/>
      <c r="DA33" s="311"/>
      <c r="DB33" s="311"/>
      <c r="DC33" s="311"/>
      <c r="DD33" s="311"/>
      <c r="DE33" s="311"/>
      <c r="DF33" s="311"/>
      <c r="DG33" s="311"/>
      <c r="DH33" s="311"/>
      <c r="DI33" s="311"/>
      <c r="DJ33" s="311"/>
      <c r="DK33" s="311"/>
      <c r="DL33" s="311"/>
      <c r="DM33" s="311"/>
      <c r="DN33" s="311"/>
      <c r="DO33" s="311"/>
      <c r="DP33" s="311"/>
      <c r="DQ33" s="311"/>
      <c r="DR33" s="311"/>
      <c r="DS33" s="311"/>
      <c r="DT33" s="311"/>
      <c r="DU33" s="311"/>
      <c r="DV33" s="311"/>
      <c r="DW33" s="311"/>
      <c r="DX33" s="311"/>
    </row>
    <row r="34" spans="2:128" ht="164.25" customHeight="1">
      <c r="B34" s="807"/>
      <c r="C34" s="807"/>
      <c r="D34" s="807"/>
      <c r="E34" s="807"/>
      <c r="F34" s="807"/>
      <c r="G34" s="807"/>
      <c r="H34" s="807"/>
      <c r="I34" s="807"/>
      <c r="V34" s="312"/>
      <c r="W34" s="314"/>
      <c r="X34" s="312"/>
      <c r="Y34" s="312"/>
      <c r="Z34" s="312"/>
      <c r="AA34" s="312"/>
      <c r="AB34" s="312"/>
      <c r="AC34" s="312"/>
      <c r="AD34" s="312"/>
      <c r="AE34" s="312"/>
      <c r="AF34" s="312"/>
      <c r="AG34" s="312"/>
      <c r="AH34" s="312"/>
      <c r="AI34" s="312"/>
      <c r="AJ34" s="312"/>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1"/>
      <c r="CE34" s="311"/>
      <c r="CF34" s="311"/>
      <c r="CG34" s="311"/>
      <c r="CH34" s="311"/>
      <c r="CI34" s="311"/>
      <c r="CJ34" s="311"/>
      <c r="CK34" s="311"/>
      <c r="CL34" s="311"/>
      <c r="CM34" s="311"/>
      <c r="CN34" s="311"/>
      <c r="CO34" s="311"/>
      <c r="CP34" s="311"/>
      <c r="CQ34" s="311"/>
      <c r="CR34" s="311"/>
      <c r="CS34" s="311"/>
      <c r="CT34" s="311"/>
      <c r="CU34" s="311"/>
      <c r="CV34" s="311"/>
      <c r="CW34" s="311"/>
      <c r="CX34" s="311"/>
      <c r="CY34" s="311"/>
      <c r="CZ34" s="311"/>
      <c r="DA34" s="311"/>
      <c r="DB34" s="311"/>
      <c r="DC34" s="311"/>
      <c r="DD34" s="311"/>
      <c r="DE34" s="311"/>
      <c r="DF34" s="311"/>
      <c r="DG34" s="311"/>
      <c r="DH34" s="311"/>
      <c r="DI34" s="311"/>
      <c r="DJ34" s="311"/>
      <c r="DK34" s="311"/>
      <c r="DL34" s="311"/>
      <c r="DM34" s="311"/>
      <c r="DN34" s="311"/>
      <c r="DO34" s="311"/>
      <c r="DP34" s="311"/>
      <c r="DQ34" s="311"/>
      <c r="DR34" s="311"/>
      <c r="DS34" s="311"/>
      <c r="DT34" s="311"/>
      <c r="DU34" s="311"/>
      <c r="DV34" s="311"/>
      <c r="DW34" s="311"/>
      <c r="DX34" s="311"/>
    </row>
    <row r="35" spans="2:128" ht="15.75">
      <c r="B35" s="223"/>
      <c r="C35" s="223"/>
      <c r="D35" s="223"/>
      <c r="E35" s="223"/>
      <c r="F35" s="223"/>
      <c r="G35" s="223"/>
      <c r="H35" s="223"/>
      <c r="I35" s="223"/>
      <c r="V35" s="314"/>
      <c r="W35" s="314"/>
      <c r="X35" s="314"/>
      <c r="Y35" s="314"/>
      <c r="Z35" s="314"/>
      <c r="AA35" s="314"/>
      <c r="AB35" s="314"/>
      <c r="AC35" s="314"/>
      <c r="AD35" s="314"/>
      <c r="AE35" s="314"/>
      <c r="AF35" s="314"/>
      <c r="AG35" s="314"/>
      <c r="AH35" s="314"/>
      <c r="AI35" s="314"/>
      <c r="AJ35" s="318"/>
      <c r="AK35" s="319"/>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1"/>
      <c r="BV35" s="311"/>
      <c r="BW35" s="311"/>
      <c r="BX35" s="311"/>
      <c r="BY35" s="311"/>
      <c r="BZ35" s="311"/>
      <c r="CA35" s="311"/>
      <c r="CB35" s="311"/>
      <c r="CC35" s="311"/>
      <c r="CD35" s="311"/>
      <c r="CE35" s="311"/>
      <c r="CF35" s="311"/>
      <c r="CG35" s="311"/>
      <c r="CH35" s="311"/>
      <c r="CI35" s="311"/>
      <c r="CJ35" s="311"/>
      <c r="CK35" s="311"/>
      <c r="CL35" s="311"/>
      <c r="CM35" s="311"/>
      <c r="CN35" s="311"/>
      <c r="CO35" s="311"/>
      <c r="CP35" s="311"/>
      <c r="CQ35" s="311"/>
      <c r="CR35" s="311"/>
      <c r="CS35" s="311"/>
      <c r="CT35" s="311"/>
      <c r="CU35" s="311"/>
      <c r="CV35" s="311"/>
      <c r="CW35" s="311"/>
      <c r="CX35" s="311"/>
      <c r="CY35" s="311"/>
      <c r="CZ35" s="311"/>
      <c r="DA35" s="311"/>
      <c r="DB35" s="311"/>
      <c r="DC35" s="311"/>
      <c r="DD35" s="311"/>
      <c r="DE35" s="311"/>
      <c r="DF35" s="311"/>
      <c r="DG35" s="311"/>
      <c r="DH35" s="311"/>
      <c r="DI35" s="311"/>
      <c r="DJ35" s="311"/>
      <c r="DK35" s="311"/>
      <c r="DL35" s="311"/>
      <c r="DM35" s="311"/>
      <c r="DN35" s="311"/>
      <c r="DO35" s="311"/>
      <c r="DP35" s="311"/>
      <c r="DQ35" s="311"/>
      <c r="DR35" s="311"/>
      <c r="DS35" s="311"/>
      <c r="DT35" s="311"/>
      <c r="DU35" s="311"/>
      <c r="DV35" s="311"/>
      <c r="DW35" s="311"/>
      <c r="DX35" s="311"/>
    </row>
    <row r="36" spans="2:128" ht="15.75">
      <c r="B36" s="223"/>
      <c r="C36" s="223"/>
      <c r="D36" s="223"/>
      <c r="E36" s="223"/>
      <c r="F36" s="223"/>
      <c r="G36" s="223"/>
      <c r="H36" s="223"/>
      <c r="I36" s="223"/>
      <c r="V36" s="314"/>
      <c r="W36" s="314"/>
      <c r="X36" s="314"/>
      <c r="Y36" s="314"/>
      <c r="Z36" s="314"/>
      <c r="AA36" s="314"/>
      <c r="AB36" s="314"/>
      <c r="AC36" s="314"/>
      <c r="AD36" s="314"/>
      <c r="AE36" s="314"/>
      <c r="AF36" s="314"/>
      <c r="AG36" s="314"/>
      <c r="AH36" s="314"/>
      <c r="AI36" s="314"/>
      <c r="AJ36" s="318"/>
      <c r="AK36" s="319"/>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c r="BV36" s="311"/>
      <c r="BW36" s="311"/>
      <c r="BX36" s="311"/>
      <c r="BY36" s="311"/>
      <c r="BZ36" s="311"/>
      <c r="CA36" s="311"/>
      <c r="CB36" s="311"/>
      <c r="CC36" s="311"/>
      <c r="CD36" s="311"/>
      <c r="CE36" s="311"/>
      <c r="CF36" s="311"/>
      <c r="CG36" s="311"/>
      <c r="CH36" s="311"/>
      <c r="CI36" s="311"/>
      <c r="CJ36" s="311"/>
      <c r="CK36" s="311"/>
      <c r="CL36" s="311"/>
      <c r="CM36" s="311"/>
      <c r="CN36" s="311"/>
      <c r="CO36" s="311"/>
      <c r="CP36" s="311"/>
      <c r="CQ36" s="311"/>
      <c r="CR36" s="311"/>
      <c r="CS36" s="311"/>
      <c r="CT36" s="311"/>
      <c r="CU36" s="311"/>
      <c r="CV36" s="311"/>
      <c r="CW36" s="311"/>
      <c r="CX36" s="311"/>
      <c r="CY36" s="311"/>
      <c r="CZ36" s="311"/>
      <c r="DA36" s="311"/>
      <c r="DB36" s="311"/>
      <c r="DC36" s="311"/>
      <c r="DD36" s="311"/>
      <c r="DE36" s="311"/>
      <c r="DF36" s="311"/>
      <c r="DG36" s="311"/>
      <c r="DH36" s="311"/>
      <c r="DI36" s="311"/>
      <c r="DJ36" s="311"/>
      <c r="DK36" s="311"/>
      <c r="DL36" s="311"/>
      <c r="DM36" s="311"/>
      <c r="DN36" s="311"/>
      <c r="DO36" s="311"/>
      <c r="DP36" s="311"/>
      <c r="DQ36" s="311"/>
      <c r="DR36" s="311"/>
      <c r="DS36" s="311"/>
      <c r="DT36" s="311"/>
      <c r="DU36" s="311"/>
      <c r="DV36" s="311"/>
      <c r="DW36" s="311"/>
      <c r="DX36" s="311"/>
    </row>
    <row r="37" spans="2:128" ht="26.25" customHeight="1">
      <c r="B37" s="223"/>
      <c r="C37" s="223"/>
      <c r="D37" s="223"/>
      <c r="E37" s="223"/>
      <c r="F37" s="223"/>
      <c r="G37" s="223"/>
      <c r="H37" s="223"/>
      <c r="I37" s="223"/>
      <c r="V37" s="314"/>
      <c r="W37" s="314"/>
      <c r="X37" s="314"/>
      <c r="Y37" s="314"/>
      <c r="Z37" s="314"/>
      <c r="AA37" s="314"/>
      <c r="AB37" s="314"/>
      <c r="AC37" s="314"/>
      <c r="AD37" s="314"/>
      <c r="AE37" s="314"/>
      <c r="AF37" s="314"/>
      <c r="AG37" s="314"/>
      <c r="AH37" s="314"/>
      <c r="AI37" s="314"/>
      <c r="AJ37" s="318"/>
      <c r="AK37" s="319"/>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R37" s="311"/>
      <c r="BS37" s="311"/>
      <c r="BT37" s="311"/>
      <c r="BU37" s="311"/>
      <c r="BV37" s="311"/>
      <c r="BW37" s="311"/>
      <c r="BX37" s="311"/>
      <c r="BY37" s="311"/>
      <c r="BZ37" s="311"/>
      <c r="CA37" s="311"/>
      <c r="CB37" s="311"/>
      <c r="CC37" s="311"/>
      <c r="CD37" s="311"/>
      <c r="CE37" s="311"/>
      <c r="CF37" s="311"/>
      <c r="CG37" s="311"/>
      <c r="CH37" s="311"/>
      <c r="CI37" s="311"/>
      <c r="CJ37" s="311"/>
      <c r="CK37" s="311"/>
      <c r="CL37" s="311"/>
      <c r="CM37" s="311"/>
      <c r="CN37" s="311"/>
      <c r="CO37" s="311"/>
      <c r="CP37" s="311"/>
      <c r="CQ37" s="311"/>
      <c r="CR37" s="311"/>
      <c r="CS37" s="311"/>
      <c r="CT37" s="311"/>
      <c r="CU37" s="311"/>
      <c r="CV37" s="311"/>
      <c r="CW37" s="311"/>
      <c r="CX37" s="311"/>
      <c r="CY37" s="311"/>
      <c r="CZ37" s="311"/>
      <c r="DA37" s="311"/>
      <c r="DB37" s="311"/>
      <c r="DC37" s="311"/>
      <c r="DD37" s="311"/>
      <c r="DE37" s="311"/>
      <c r="DF37" s="311"/>
      <c r="DG37" s="311"/>
      <c r="DH37" s="311"/>
      <c r="DI37" s="311"/>
      <c r="DJ37" s="311"/>
      <c r="DK37" s="311"/>
      <c r="DL37" s="311"/>
      <c r="DM37" s="311"/>
      <c r="DN37" s="311"/>
      <c r="DO37" s="311"/>
      <c r="DP37" s="311"/>
      <c r="DQ37" s="311"/>
      <c r="DR37" s="311"/>
      <c r="DS37" s="311"/>
      <c r="DT37" s="311"/>
      <c r="DU37" s="311"/>
      <c r="DV37" s="311"/>
      <c r="DW37" s="311"/>
      <c r="DX37" s="311"/>
    </row>
    <row r="38" spans="2:128" ht="15.75">
      <c r="B38" s="223"/>
      <c r="C38" s="223"/>
      <c r="D38" s="223"/>
      <c r="E38" s="223"/>
      <c r="F38" s="805" t="s">
        <v>310</v>
      </c>
      <c r="G38" s="805"/>
      <c r="H38" s="805"/>
      <c r="I38" s="805"/>
      <c r="V38" s="314"/>
      <c r="W38" s="314"/>
      <c r="X38" s="314"/>
      <c r="Y38" s="314"/>
      <c r="Z38" s="314"/>
      <c r="AA38" s="314"/>
      <c r="AB38" s="314"/>
      <c r="AC38" s="314"/>
      <c r="AD38" s="314"/>
      <c r="AE38" s="314"/>
      <c r="AF38" s="314"/>
      <c r="AG38" s="314"/>
      <c r="AH38" s="314"/>
      <c r="AI38" s="314"/>
      <c r="AJ38" s="318"/>
      <c r="AK38" s="319"/>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311"/>
      <c r="BU38" s="311"/>
      <c r="BV38" s="311"/>
      <c r="BW38" s="311"/>
      <c r="BX38" s="311"/>
      <c r="BY38" s="311"/>
      <c r="BZ38" s="311"/>
      <c r="CA38" s="311"/>
      <c r="CB38" s="311"/>
      <c r="CC38" s="311"/>
      <c r="CD38" s="311"/>
      <c r="CE38" s="311"/>
      <c r="CF38" s="311"/>
      <c r="CG38" s="311"/>
      <c r="CH38" s="311"/>
      <c r="CI38" s="311"/>
      <c r="CJ38" s="311"/>
      <c r="CK38" s="311"/>
      <c r="CL38" s="311"/>
      <c r="CM38" s="311"/>
      <c r="CN38" s="311"/>
      <c r="CO38" s="311"/>
      <c r="CP38" s="311"/>
      <c r="CQ38" s="311"/>
      <c r="CR38" s="311"/>
      <c r="CS38" s="311"/>
      <c r="CT38" s="311"/>
      <c r="CU38" s="311"/>
      <c r="CV38" s="311"/>
      <c r="CW38" s="311"/>
      <c r="CX38" s="311"/>
      <c r="CY38" s="311"/>
      <c r="CZ38" s="311"/>
      <c r="DA38" s="311"/>
      <c r="DB38" s="311"/>
      <c r="DC38" s="311"/>
      <c r="DD38" s="311"/>
      <c r="DE38" s="311"/>
      <c r="DF38" s="311"/>
      <c r="DG38" s="311"/>
      <c r="DH38" s="311"/>
      <c r="DI38" s="311"/>
      <c r="DJ38" s="311"/>
      <c r="DK38" s="311"/>
      <c r="DL38" s="311"/>
      <c r="DM38" s="311"/>
      <c r="DN38" s="311"/>
      <c r="DO38" s="311"/>
      <c r="DP38" s="311"/>
      <c r="DQ38" s="311"/>
      <c r="DR38" s="311"/>
      <c r="DS38" s="311"/>
      <c r="DT38" s="311"/>
      <c r="DU38" s="311"/>
      <c r="DV38" s="311"/>
      <c r="DW38" s="311"/>
      <c r="DX38" s="311"/>
    </row>
    <row r="39" spans="22:128" ht="15.75">
      <c r="V39" s="314"/>
      <c r="W39" s="314"/>
      <c r="X39" s="314"/>
      <c r="Y39" s="314"/>
      <c r="Z39" s="314"/>
      <c r="AA39" s="314"/>
      <c r="AB39" s="314"/>
      <c r="AC39" s="314"/>
      <c r="AD39" s="314"/>
      <c r="AE39" s="314"/>
      <c r="AF39" s="314"/>
      <c r="AG39" s="314"/>
      <c r="AH39" s="314"/>
      <c r="AI39" s="314"/>
      <c r="AJ39" s="318"/>
      <c r="AK39" s="319"/>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R39" s="311"/>
      <c r="BS39" s="311"/>
      <c r="BT39" s="311"/>
      <c r="BU39" s="311"/>
      <c r="BV39" s="311"/>
      <c r="BW39" s="311"/>
      <c r="BX39" s="311"/>
      <c r="BY39" s="311"/>
      <c r="BZ39" s="311"/>
      <c r="CA39" s="311"/>
      <c r="CB39" s="311"/>
      <c r="CC39" s="311"/>
      <c r="CD39" s="311"/>
      <c r="CE39" s="311"/>
      <c r="CF39" s="311"/>
      <c r="CG39" s="311"/>
      <c r="CH39" s="311"/>
      <c r="CI39" s="311"/>
      <c r="CJ39" s="311"/>
      <c r="CK39" s="311"/>
      <c r="CL39" s="311"/>
      <c r="CM39" s="311"/>
      <c r="CN39" s="311"/>
      <c r="CO39" s="311"/>
      <c r="CP39" s="311"/>
      <c r="CQ39" s="311"/>
      <c r="CR39" s="311"/>
      <c r="CS39" s="311"/>
      <c r="CT39" s="311"/>
      <c r="CU39" s="311"/>
      <c r="CV39" s="311"/>
      <c r="CW39" s="311"/>
      <c r="CX39" s="311"/>
      <c r="CY39" s="311"/>
      <c r="CZ39" s="311"/>
      <c r="DA39" s="311"/>
      <c r="DB39" s="311"/>
      <c r="DC39" s="311"/>
      <c r="DD39" s="311"/>
      <c r="DE39" s="311"/>
      <c r="DF39" s="311"/>
      <c r="DG39" s="311"/>
      <c r="DH39" s="311"/>
      <c r="DI39" s="311"/>
      <c r="DJ39" s="311"/>
      <c r="DK39" s="311"/>
      <c r="DL39" s="311"/>
      <c r="DM39" s="311"/>
      <c r="DN39" s="311"/>
      <c r="DO39" s="311"/>
      <c r="DP39" s="311"/>
      <c r="DQ39" s="311"/>
      <c r="DR39" s="311"/>
      <c r="DS39" s="311"/>
      <c r="DT39" s="311"/>
      <c r="DU39" s="311"/>
      <c r="DV39" s="311"/>
      <c r="DW39" s="311"/>
      <c r="DX39" s="311"/>
    </row>
    <row r="40" spans="22:128" ht="15.75">
      <c r="V40" s="314"/>
      <c r="W40" s="314"/>
      <c r="X40" s="314"/>
      <c r="Y40" s="314"/>
      <c r="Z40" s="314"/>
      <c r="AA40" s="314"/>
      <c r="AB40" s="314"/>
      <c r="AC40" s="314"/>
      <c r="AD40" s="314"/>
      <c r="AE40" s="314"/>
      <c r="AF40" s="314"/>
      <c r="AG40" s="314"/>
      <c r="AH40" s="314"/>
      <c r="AI40" s="314"/>
      <c r="AJ40" s="318"/>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c r="CI40" s="311"/>
      <c r="CJ40" s="311"/>
      <c r="CK40" s="311"/>
      <c r="CL40" s="311"/>
      <c r="CM40" s="311"/>
      <c r="CN40" s="311"/>
      <c r="CO40" s="311"/>
      <c r="CP40" s="311"/>
      <c r="CQ40" s="311"/>
      <c r="CR40" s="311"/>
      <c r="CS40" s="311"/>
      <c r="CT40" s="311"/>
      <c r="CU40" s="311"/>
      <c r="CV40" s="311"/>
      <c r="CW40" s="311"/>
      <c r="CX40" s="311"/>
      <c r="CY40" s="311"/>
      <c r="CZ40" s="311"/>
      <c r="DA40" s="311"/>
      <c r="DB40" s="311"/>
      <c r="DC40" s="311"/>
      <c r="DD40" s="311"/>
      <c r="DE40" s="311"/>
      <c r="DF40" s="311"/>
      <c r="DG40" s="311"/>
      <c r="DH40" s="311"/>
      <c r="DI40" s="311"/>
      <c r="DJ40" s="311"/>
      <c r="DK40" s="311"/>
      <c r="DL40" s="311"/>
      <c r="DM40" s="311"/>
      <c r="DN40" s="311"/>
      <c r="DO40" s="311"/>
      <c r="DP40" s="311"/>
      <c r="DQ40" s="311"/>
      <c r="DR40" s="311"/>
      <c r="DS40" s="311"/>
      <c r="DT40" s="311"/>
      <c r="DU40" s="311"/>
      <c r="DV40" s="311"/>
      <c r="DW40" s="311"/>
      <c r="DX40" s="311"/>
    </row>
    <row r="41" spans="22:128" ht="15.75">
      <c r="V41" s="314"/>
      <c r="W41" s="314"/>
      <c r="X41" s="314"/>
      <c r="Y41" s="314"/>
      <c r="Z41" s="314"/>
      <c r="AA41" s="314"/>
      <c r="AB41" s="314"/>
      <c r="AC41" s="314"/>
      <c r="AD41" s="314"/>
      <c r="AE41" s="314"/>
      <c r="AF41" s="314"/>
      <c r="AG41" s="314"/>
      <c r="AH41" s="314"/>
      <c r="AI41" s="314"/>
      <c r="AJ41" s="318"/>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1"/>
      <c r="BR41" s="311"/>
      <c r="BS41" s="311"/>
      <c r="BT41" s="311"/>
      <c r="BU41" s="311"/>
      <c r="BV41" s="311"/>
      <c r="BW41" s="311"/>
      <c r="BX41" s="311"/>
      <c r="BY41" s="311"/>
      <c r="BZ41" s="311"/>
      <c r="CA41" s="311"/>
      <c r="CB41" s="311"/>
      <c r="CC41" s="311"/>
      <c r="CD41" s="311"/>
      <c r="CE41" s="311"/>
      <c r="CF41" s="311"/>
      <c r="CG41" s="311"/>
      <c r="CH41" s="311"/>
      <c r="CI41" s="311"/>
      <c r="CJ41" s="311"/>
      <c r="CK41" s="311"/>
      <c r="CL41" s="311"/>
      <c r="CM41" s="311"/>
      <c r="CN41" s="311"/>
      <c r="CO41" s="311"/>
      <c r="CP41" s="311"/>
      <c r="CQ41" s="311"/>
      <c r="CR41" s="311"/>
      <c r="CS41" s="311"/>
      <c r="CT41" s="311"/>
      <c r="CU41" s="311"/>
      <c r="CV41" s="311"/>
      <c r="CW41" s="311"/>
      <c r="CX41" s="311"/>
      <c r="CY41" s="311"/>
      <c r="CZ41" s="311"/>
      <c r="DA41" s="311"/>
      <c r="DB41" s="311"/>
      <c r="DC41" s="311"/>
      <c r="DD41" s="311"/>
      <c r="DE41" s="311"/>
      <c r="DF41" s="311"/>
      <c r="DG41" s="311"/>
      <c r="DH41" s="311"/>
      <c r="DI41" s="311"/>
      <c r="DJ41" s="311"/>
      <c r="DK41" s="311"/>
      <c r="DL41" s="311"/>
      <c r="DM41" s="311"/>
      <c r="DN41" s="311"/>
      <c r="DO41" s="311"/>
      <c r="DP41" s="311"/>
      <c r="DQ41" s="311"/>
      <c r="DR41" s="311"/>
      <c r="DS41" s="311"/>
      <c r="DT41" s="311"/>
      <c r="DU41" s="311"/>
      <c r="DV41" s="311"/>
      <c r="DW41" s="311"/>
      <c r="DX41" s="311"/>
    </row>
    <row r="42" spans="22:128" ht="15.75">
      <c r="V42" s="314"/>
      <c r="W42" s="314"/>
      <c r="X42" s="314"/>
      <c r="Y42" s="314"/>
      <c r="Z42" s="314"/>
      <c r="AA42" s="314"/>
      <c r="AB42" s="314"/>
      <c r="AC42" s="314"/>
      <c r="AD42" s="314"/>
      <c r="AE42" s="314"/>
      <c r="AF42" s="314"/>
      <c r="AG42" s="314"/>
      <c r="AH42" s="314"/>
      <c r="AI42" s="314"/>
      <c r="AJ42" s="318"/>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311"/>
      <c r="BS42" s="311"/>
      <c r="BT42" s="311"/>
      <c r="BU42" s="311"/>
      <c r="BV42" s="311"/>
      <c r="BW42" s="311"/>
      <c r="BX42" s="311"/>
      <c r="BY42" s="311"/>
      <c r="BZ42" s="311"/>
      <c r="CA42" s="311"/>
      <c r="CB42" s="311"/>
      <c r="CC42" s="311"/>
      <c r="CD42" s="311"/>
      <c r="CE42" s="311"/>
      <c r="CF42" s="311"/>
      <c r="CG42" s="311"/>
      <c r="CH42" s="311"/>
      <c r="CI42" s="311"/>
      <c r="CJ42" s="311"/>
      <c r="CK42" s="311"/>
      <c r="CL42" s="311"/>
      <c r="CM42" s="311"/>
      <c r="CN42" s="311"/>
      <c r="CO42" s="311"/>
      <c r="CP42" s="311"/>
      <c r="CQ42" s="311"/>
      <c r="CR42" s="311"/>
      <c r="CS42" s="311"/>
      <c r="CT42" s="311"/>
      <c r="CU42" s="311"/>
      <c r="CV42" s="311"/>
      <c r="CW42" s="311"/>
      <c r="CX42" s="311"/>
      <c r="CY42" s="311"/>
      <c r="CZ42" s="311"/>
      <c r="DA42" s="311"/>
      <c r="DB42" s="311"/>
      <c r="DC42" s="311"/>
      <c r="DD42" s="311"/>
      <c r="DE42" s="311"/>
      <c r="DF42" s="311"/>
      <c r="DG42" s="311"/>
      <c r="DH42" s="311"/>
      <c r="DI42" s="311"/>
      <c r="DJ42" s="311"/>
      <c r="DK42" s="311"/>
      <c r="DL42" s="311"/>
      <c r="DM42" s="311"/>
      <c r="DN42" s="311"/>
      <c r="DO42" s="311"/>
      <c r="DP42" s="311"/>
      <c r="DQ42" s="311"/>
      <c r="DR42" s="311"/>
      <c r="DS42" s="311"/>
      <c r="DT42" s="311"/>
      <c r="DU42" s="311"/>
      <c r="DV42" s="311"/>
      <c r="DW42" s="311"/>
      <c r="DX42" s="311"/>
    </row>
    <row r="43" spans="22:128" ht="15.75">
      <c r="V43" s="314"/>
      <c r="W43" s="314"/>
      <c r="X43" s="314"/>
      <c r="Y43" s="314"/>
      <c r="Z43" s="314"/>
      <c r="AA43" s="314"/>
      <c r="AB43" s="314"/>
      <c r="AC43" s="314"/>
      <c r="AD43" s="314"/>
      <c r="AE43" s="314"/>
      <c r="AF43" s="314"/>
      <c r="AG43" s="314"/>
      <c r="AH43" s="314"/>
      <c r="AI43" s="314"/>
      <c r="AJ43" s="318"/>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c r="CP43" s="311"/>
      <c r="CQ43" s="311"/>
      <c r="CR43" s="311"/>
      <c r="CS43" s="311"/>
      <c r="CT43" s="311"/>
      <c r="CU43" s="311"/>
      <c r="CV43" s="311"/>
      <c r="CW43" s="311"/>
      <c r="CX43" s="311"/>
      <c r="CY43" s="311"/>
      <c r="CZ43" s="311"/>
      <c r="DA43" s="311"/>
      <c r="DB43" s="311"/>
      <c r="DC43" s="311"/>
      <c r="DD43" s="311"/>
      <c r="DE43" s="311"/>
      <c r="DF43" s="311"/>
      <c r="DG43" s="311"/>
      <c r="DH43" s="311"/>
      <c r="DI43" s="311"/>
      <c r="DJ43" s="311"/>
      <c r="DK43" s="311"/>
      <c r="DL43" s="311"/>
      <c r="DM43" s="311"/>
      <c r="DN43" s="311"/>
      <c r="DO43" s="311"/>
      <c r="DP43" s="311"/>
      <c r="DQ43" s="311"/>
      <c r="DR43" s="311"/>
      <c r="DS43" s="311"/>
      <c r="DT43" s="311"/>
      <c r="DU43" s="311"/>
      <c r="DV43" s="311"/>
      <c r="DW43" s="311"/>
      <c r="DX43" s="311"/>
    </row>
    <row r="44" spans="22:128" ht="15.75">
      <c r="V44" s="314"/>
      <c r="W44" s="314"/>
      <c r="X44" s="314"/>
      <c r="Y44" s="314"/>
      <c r="Z44" s="314"/>
      <c r="AA44" s="314"/>
      <c r="AB44" s="314"/>
      <c r="AC44" s="314"/>
      <c r="AD44" s="314"/>
      <c r="AE44" s="314"/>
      <c r="AF44" s="314"/>
      <c r="AG44" s="314"/>
      <c r="AH44" s="314"/>
      <c r="AI44" s="314"/>
      <c r="AJ44" s="318"/>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311"/>
      <c r="BY44" s="311"/>
      <c r="BZ44" s="311"/>
      <c r="CA44" s="311"/>
      <c r="CB44" s="311"/>
      <c r="CC44" s="311"/>
      <c r="CD44" s="311"/>
      <c r="CE44" s="311"/>
      <c r="CF44" s="311"/>
      <c r="CG44" s="311"/>
      <c r="CH44" s="311"/>
      <c r="CI44" s="311"/>
      <c r="CJ44" s="311"/>
      <c r="CK44" s="311"/>
      <c r="CL44" s="311"/>
      <c r="CM44" s="311"/>
      <c r="CN44" s="311"/>
      <c r="CO44" s="311"/>
      <c r="CP44" s="311"/>
      <c r="CQ44" s="311"/>
      <c r="CR44" s="311"/>
      <c r="CS44" s="311"/>
      <c r="CT44" s="311"/>
      <c r="CU44" s="311"/>
      <c r="CV44" s="311"/>
      <c r="CW44" s="311"/>
      <c r="CX44" s="311"/>
      <c r="CY44" s="311"/>
      <c r="CZ44" s="311"/>
      <c r="DA44" s="311"/>
      <c r="DB44" s="311"/>
      <c r="DC44" s="311"/>
      <c r="DD44" s="311"/>
      <c r="DE44" s="311"/>
      <c r="DF44" s="311"/>
      <c r="DG44" s="311"/>
      <c r="DH44" s="311"/>
      <c r="DI44" s="311"/>
      <c r="DJ44" s="311"/>
      <c r="DK44" s="311"/>
      <c r="DL44" s="311"/>
      <c r="DM44" s="311"/>
      <c r="DN44" s="311"/>
      <c r="DO44" s="311"/>
      <c r="DP44" s="311"/>
      <c r="DQ44" s="311"/>
      <c r="DR44" s="311"/>
      <c r="DS44" s="311"/>
      <c r="DT44" s="311"/>
      <c r="DU44" s="311"/>
      <c r="DV44" s="311"/>
      <c r="DW44" s="311"/>
      <c r="DX44" s="311"/>
    </row>
    <row r="45" spans="22:128" ht="15.75">
      <c r="V45" s="314"/>
      <c r="W45" s="314"/>
      <c r="X45" s="314"/>
      <c r="Y45" s="314"/>
      <c r="Z45" s="314"/>
      <c r="AA45" s="314"/>
      <c r="AB45" s="314"/>
      <c r="AC45" s="314"/>
      <c r="AD45" s="314"/>
      <c r="AE45" s="314"/>
      <c r="AF45" s="314"/>
      <c r="AG45" s="314"/>
      <c r="AH45" s="314"/>
      <c r="AI45" s="314"/>
      <c r="AJ45" s="318"/>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c r="CJ45" s="311"/>
      <c r="CK45" s="311"/>
      <c r="CL45" s="311"/>
      <c r="CM45" s="311"/>
      <c r="CN45" s="311"/>
      <c r="CO45" s="311"/>
      <c r="CP45" s="311"/>
      <c r="CQ45" s="311"/>
      <c r="CR45" s="311"/>
      <c r="CS45" s="311"/>
      <c r="CT45" s="311"/>
      <c r="CU45" s="311"/>
      <c r="CV45" s="311"/>
      <c r="CW45" s="311"/>
      <c r="CX45" s="311"/>
      <c r="CY45" s="311"/>
      <c r="CZ45" s="311"/>
      <c r="DA45" s="311"/>
      <c r="DB45" s="311"/>
      <c r="DC45" s="311"/>
      <c r="DD45" s="311"/>
      <c r="DE45" s="311"/>
      <c r="DF45" s="311"/>
      <c r="DG45" s="311"/>
      <c r="DH45" s="311"/>
      <c r="DI45" s="311"/>
      <c r="DJ45" s="311"/>
      <c r="DK45" s="311"/>
      <c r="DL45" s="311"/>
      <c r="DM45" s="311"/>
      <c r="DN45" s="311"/>
      <c r="DO45" s="311"/>
      <c r="DP45" s="311"/>
      <c r="DQ45" s="311"/>
      <c r="DR45" s="311"/>
      <c r="DS45" s="311"/>
      <c r="DT45" s="311"/>
      <c r="DU45" s="311"/>
      <c r="DV45" s="311"/>
      <c r="DW45" s="311"/>
      <c r="DX45" s="311"/>
    </row>
    <row r="46" spans="22:128" ht="15.75">
      <c r="V46" s="314"/>
      <c r="W46" s="314"/>
      <c r="X46" s="314"/>
      <c r="Y46" s="314"/>
      <c r="Z46" s="314"/>
      <c r="AA46" s="314"/>
      <c r="AB46" s="314"/>
      <c r="AC46" s="314"/>
      <c r="AD46" s="314"/>
      <c r="AE46" s="314"/>
      <c r="AF46" s="314"/>
      <c r="AG46" s="314"/>
      <c r="AH46" s="314"/>
      <c r="AI46" s="314"/>
      <c r="AJ46" s="318"/>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311"/>
      <c r="BY46" s="311"/>
      <c r="BZ46" s="311"/>
      <c r="CA46" s="311"/>
      <c r="CB46" s="311"/>
      <c r="CC46" s="311"/>
      <c r="CD46" s="311"/>
      <c r="CE46" s="311"/>
      <c r="CF46" s="311"/>
      <c r="CG46" s="311"/>
      <c r="CH46" s="311"/>
      <c r="CI46" s="311"/>
      <c r="CJ46" s="311"/>
      <c r="CK46" s="311"/>
      <c r="CL46" s="311"/>
      <c r="CM46" s="311"/>
      <c r="CN46" s="311"/>
      <c r="CO46" s="311"/>
      <c r="CP46" s="311"/>
      <c r="CQ46" s="311"/>
      <c r="CR46" s="311"/>
      <c r="CS46" s="311"/>
      <c r="CT46" s="311"/>
      <c r="CU46" s="311"/>
      <c r="CV46" s="311"/>
      <c r="CW46" s="311"/>
      <c r="CX46" s="311"/>
      <c r="CY46" s="311"/>
      <c r="CZ46" s="311"/>
      <c r="DA46" s="311"/>
      <c r="DB46" s="311"/>
      <c r="DC46" s="311"/>
      <c r="DD46" s="311"/>
      <c r="DE46" s="311"/>
      <c r="DF46" s="311"/>
      <c r="DG46" s="311"/>
      <c r="DH46" s="311"/>
      <c r="DI46" s="311"/>
      <c r="DJ46" s="311"/>
      <c r="DK46" s="311"/>
      <c r="DL46" s="311"/>
      <c r="DM46" s="311"/>
      <c r="DN46" s="311"/>
      <c r="DO46" s="311"/>
      <c r="DP46" s="311"/>
      <c r="DQ46" s="311"/>
      <c r="DR46" s="311"/>
      <c r="DS46" s="311"/>
      <c r="DT46" s="311"/>
      <c r="DU46" s="311"/>
      <c r="DV46" s="311"/>
      <c r="DW46" s="311"/>
      <c r="DX46" s="311"/>
    </row>
    <row r="47" spans="22:128" ht="15.75">
      <c r="V47" s="314"/>
      <c r="W47" s="314"/>
      <c r="X47" s="314"/>
      <c r="Y47" s="314"/>
      <c r="Z47" s="314"/>
      <c r="AA47" s="314"/>
      <c r="AB47" s="314"/>
      <c r="AC47" s="314"/>
      <c r="AD47" s="314"/>
      <c r="AE47" s="314"/>
      <c r="AF47" s="314"/>
      <c r="AG47" s="314"/>
      <c r="AH47" s="314"/>
      <c r="AI47" s="314"/>
      <c r="AJ47" s="318"/>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311"/>
      <c r="BY47" s="311"/>
      <c r="BZ47" s="311"/>
      <c r="CA47" s="311"/>
      <c r="CB47" s="311"/>
      <c r="CC47" s="311"/>
      <c r="CD47" s="311"/>
      <c r="CE47" s="311"/>
      <c r="CF47" s="311"/>
      <c r="CG47" s="311"/>
      <c r="CH47" s="311"/>
      <c r="CI47" s="311"/>
      <c r="CJ47" s="311"/>
      <c r="CK47" s="311"/>
      <c r="CL47" s="311"/>
      <c r="CM47" s="311"/>
      <c r="CN47" s="311"/>
      <c r="CO47" s="311"/>
      <c r="CP47" s="311"/>
      <c r="CQ47" s="311"/>
      <c r="CR47" s="311"/>
      <c r="CS47" s="311"/>
      <c r="CT47" s="311"/>
      <c r="CU47" s="311"/>
      <c r="CV47" s="311"/>
      <c r="CW47" s="311"/>
      <c r="CX47" s="311"/>
      <c r="CY47" s="311"/>
      <c r="CZ47" s="311"/>
      <c r="DA47" s="311"/>
      <c r="DB47" s="311"/>
      <c r="DC47" s="311"/>
      <c r="DD47" s="311"/>
      <c r="DE47" s="311"/>
      <c r="DF47" s="311"/>
      <c r="DG47" s="311"/>
      <c r="DH47" s="311"/>
      <c r="DI47" s="311"/>
      <c r="DJ47" s="311"/>
      <c r="DK47" s="311"/>
      <c r="DL47" s="311"/>
      <c r="DM47" s="311"/>
      <c r="DN47" s="311"/>
      <c r="DO47" s="311"/>
      <c r="DP47" s="311"/>
      <c r="DQ47" s="311"/>
      <c r="DR47" s="311"/>
      <c r="DS47" s="311"/>
      <c r="DT47" s="311"/>
      <c r="DU47" s="311"/>
      <c r="DV47" s="311"/>
      <c r="DW47" s="311"/>
      <c r="DX47" s="311"/>
    </row>
    <row r="48" spans="22:128" ht="15.75">
      <c r="V48" s="314"/>
      <c r="W48" s="314"/>
      <c r="X48" s="314"/>
      <c r="Y48" s="314"/>
      <c r="Z48" s="314"/>
      <c r="AA48" s="314"/>
      <c r="AB48" s="314"/>
      <c r="AC48" s="314"/>
      <c r="AD48" s="314"/>
      <c r="AE48" s="314"/>
      <c r="AF48" s="314"/>
      <c r="AG48" s="314"/>
      <c r="AH48" s="314"/>
      <c r="AI48" s="314"/>
      <c r="AJ48" s="318"/>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row>
    <row r="49" spans="22:128" ht="15">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1"/>
      <c r="CY49" s="311"/>
      <c r="CZ49" s="311"/>
      <c r="DA49" s="311"/>
      <c r="DB49" s="311"/>
      <c r="DC49" s="311"/>
      <c r="DD49" s="311"/>
      <c r="DE49" s="311"/>
      <c r="DF49" s="311"/>
      <c r="DG49" s="311"/>
      <c r="DH49" s="311"/>
      <c r="DI49" s="311"/>
      <c r="DJ49" s="311"/>
      <c r="DK49" s="311"/>
      <c r="DL49" s="311"/>
      <c r="DM49" s="311"/>
      <c r="DN49" s="311"/>
      <c r="DO49" s="311"/>
      <c r="DP49" s="311"/>
      <c r="DQ49" s="311"/>
      <c r="DR49" s="311"/>
      <c r="DS49" s="311"/>
      <c r="DT49" s="311"/>
      <c r="DU49" s="311"/>
      <c r="DV49" s="311"/>
      <c r="DW49" s="311"/>
      <c r="DX49" s="311"/>
    </row>
    <row r="50" spans="22:128" ht="15">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1"/>
      <c r="BV50" s="311"/>
      <c r="BW50" s="311"/>
      <c r="BX50" s="311"/>
      <c r="BY50" s="311"/>
      <c r="BZ50" s="311"/>
      <c r="CA50" s="311"/>
      <c r="CB50" s="311"/>
      <c r="CC50" s="311"/>
      <c r="CD50" s="311"/>
      <c r="CE50" s="311"/>
      <c r="CF50" s="311"/>
      <c r="CG50" s="311"/>
      <c r="CH50" s="311"/>
      <c r="CI50" s="311"/>
      <c r="CJ50" s="311"/>
      <c r="CK50" s="311"/>
      <c r="CL50" s="311"/>
      <c r="CM50" s="311"/>
      <c r="CN50" s="311"/>
      <c r="CO50" s="311"/>
      <c r="CP50" s="311"/>
      <c r="CQ50" s="311"/>
      <c r="CR50" s="311"/>
      <c r="CS50" s="311"/>
      <c r="CT50" s="311"/>
      <c r="CU50" s="311"/>
      <c r="CV50" s="311"/>
      <c r="CW50" s="311"/>
      <c r="CX50" s="311"/>
      <c r="CY50" s="311"/>
      <c r="CZ50" s="311"/>
      <c r="DA50" s="311"/>
      <c r="DB50" s="311"/>
      <c r="DC50" s="311"/>
      <c r="DD50" s="311"/>
      <c r="DE50" s="311"/>
      <c r="DF50" s="311"/>
      <c r="DG50" s="311"/>
      <c r="DH50" s="311"/>
      <c r="DI50" s="311"/>
      <c r="DJ50" s="311"/>
      <c r="DK50" s="311"/>
      <c r="DL50" s="311"/>
      <c r="DM50" s="311"/>
      <c r="DN50" s="311"/>
      <c r="DO50" s="311"/>
      <c r="DP50" s="311"/>
      <c r="DQ50" s="311"/>
      <c r="DR50" s="311"/>
      <c r="DS50" s="311"/>
      <c r="DT50" s="311"/>
      <c r="DU50" s="311"/>
      <c r="DV50" s="311"/>
      <c r="DW50" s="311"/>
      <c r="DX50" s="311"/>
    </row>
    <row r="51" spans="22:128" ht="15">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row>
    <row r="52" spans="22:128" ht="15">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11"/>
      <c r="CF52" s="311"/>
      <c r="CG52" s="311"/>
      <c r="CH52" s="311"/>
      <c r="CI52" s="311"/>
      <c r="CJ52" s="311"/>
      <c r="CK52" s="311"/>
      <c r="CL52" s="311"/>
      <c r="CM52" s="311"/>
      <c r="CN52" s="311"/>
      <c r="CO52" s="311"/>
      <c r="CP52" s="311"/>
      <c r="CQ52" s="311"/>
      <c r="CR52" s="311"/>
      <c r="CS52" s="311"/>
      <c r="CT52" s="311"/>
      <c r="CU52" s="311"/>
      <c r="CV52" s="311"/>
      <c r="CW52" s="311"/>
      <c r="CX52" s="311"/>
      <c r="CY52" s="311"/>
      <c r="CZ52" s="311"/>
      <c r="DA52" s="311"/>
      <c r="DB52" s="311"/>
      <c r="DC52" s="311"/>
      <c r="DD52" s="311"/>
      <c r="DE52" s="311"/>
      <c r="DF52" s="311"/>
      <c r="DG52" s="311"/>
      <c r="DH52" s="311"/>
      <c r="DI52" s="311"/>
      <c r="DJ52" s="311"/>
      <c r="DK52" s="311"/>
      <c r="DL52" s="311"/>
      <c r="DM52" s="311"/>
      <c r="DN52" s="311"/>
      <c r="DO52" s="311"/>
      <c r="DP52" s="311"/>
      <c r="DQ52" s="311"/>
      <c r="DR52" s="311"/>
      <c r="DS52" s="311"/>
      <c r="DT52" s="311"/>
      <c r="DU52" s="311"/>
      <c r="DV52" s="311"/>
      <c r="DW52" s="311"/>
      <c r="DX52" s="311"/>
    </row>
    <row r="53" spans="22:128" ht="15">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row>
    <row r="54" spans="22:128" ht="15">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311"/>
      <c r="BY54" s="311"/>
      <c r="BZ54" s="311"/>
      <c r="CA54" s="311"/>
      <c r="CB54" s="311"/>
      <c r="CC54" s="311"/>
      <c r="CD54" s="311"/>
      <c r="CE54" s="311"/>
      <c r="CF54" s="311"/>
      <c r="CG54" s="311"/>
      <c r="CH54" s="311"/>
      <c r="CI54" s="311"/>
      <c r="CJ54" s="311"/>
      <c r="CK54" s="311"/>
      <c r="CL54" s="311"/>
      <c r="CM54" s="311"/>
      <c r="CN54" s="311"/>
      <c r="CO54" s="311"/>
      <c r="CP54" s="311"/>
      <c r="CQ54" s="311"/>
      <c r="CR54" s="311"/>
      <c r="CS54" s="311"/>
      <c r="CT54" s="311"/>
      <c r="CU54" s="311"/>
      <c r="CV54" s="311"/>
      <c r="CW54" s="311"/>
      <c r="CX54" s="311"/>
      <c r="CY54" s="311"/>
      <c r="CZ54" s="311"/>
      <c r="DA54" s="311"/>
      <c r="DB54" s="311"/>
      <c r="DC54" s="311"/>
      <c r="DD54" s="311"/>
      <c r="DE54" s="311"/>
      <c r="DF54" s="311"/>
      <c r="DG54" s="311"/>
      <c r="DH54" s="311"/>
      <c r="DI54" s="311"/>
      <c r="DJ54" s="311"/>
      <c r="DK54" s="311"/>
      <c r="DL54" s="311"/>
      <c r="DM54" s="311"/>
      <c r="DN54" s="311"/>
      <c r="DO54" s="311"/>
      <c r="DP54" s="311"/>
      <c r="DQ54" s="311"/>
      <c r="DR54" s="311"/>
      <c r="DS54" s="311"/>
      <c r="DT54" s="311"/>
      <c r="DU54" s="311"/>
      <c r="DV54" s="311"/>
      <c r="DW54" s="311"/>
      <c r="DX54" s="311"/>
    </row>
    <row r="55" spans="22:128" ht="15">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c r="CI55" s="311"/>
      <c r="CJ55" s="311"/>
      <c r="CK55" s="311"/>
      <c r="CL55" s="311"/>
      <c r="CM55" s="311"/>
      <c r="CN55" s="311"/>
      <c r="CO55" s="311"/>
      <c r="CP55" s="311"/>
      <c r="CQ55" s="311"/>
      <c r="CR55" s="311"/>
      <c r="CS55" s="311"/>
      <c r="CT55" s="311"/>
      <c r="CU55" s="311"/>
      <c r="CV55" s="311"/>
      <c r="CW55" s="311"/>
      <c r="CX55" s="311"/>
      <c r="CY55" s="311"/>
      <c r="CZ55" s="311"/>
      <c r="DA55" s="311"/>
      <c r="DB55" s="311"/>
      <c r="DC55" s="311"/>
      <c r="DD55" s="311"/>
      <c r="DE55" s="311"/>
      <c r="DF55" s="311"/>
      <c r="DG55" s="311"/>
      <c r="DH55" s="311"/>
      <c r="DI55" s="311"/>
      <c r="DJ55" s="311"/>
      <c r="DK55" s="311"/>
      <c r="DL55" s="311"/>
      <c r="DM55" s="311"/>
      <c r="DN55" s="311"/>
      <c r="DO55" s="311"/>
      <c r="DP55" s="311"/>
      <c r="DQ55" s="311"/>
      <c r="DR55" s="311"/>
      <c r="DS55" s="311"/>
      <c r="DT55" s="311"/>
      <c r="DU55" s="311"/>
      <c r="DV55" s="311"/>
      <c r="DW55" s="311"/>
      <c r="DX55" s="311"/>
    </row>
    <row r="56" spans="22:128" ht="15">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1"/>
      <c r="BX56" s="311"/>
      <c r="BY56" s="311"/>
      <c r="BZ56" s="311"/>
      <c r="CA56" s="311"/>
      <c r="CB56" s="311"/>
      <c r="CC56" s="311"/>
      <c r="CD56" s="311"/>
      <c r="CE56" s="311"/>
      <c r="CF56" s="311"/>
      <c r="CG56" s="311"/>
      <c r="CH56" s="311"/>
      <c r="CI56" s="311"/>
      <c r="CJ56" s="311"/>
      <c r="CK56" s="311"/>
      <c r="CL56" s="311"/>
      <c r="CM56" s="311"/>
      <c r="CN56" s="311"/>
      <c r="CO56" s="311"/>
      <c r="CP56" s="311"/>
      <c r="CQ56" s="311"/>
      <c r="CR56" s="311"/>
      <c r="CS56" s="311"/>
      <c r="CT56" s="311"/>
      <c r="CU56" s="311"/>
      <c r="CV56" s="311"/>
      <c r="CW56" s="311"/>
      <c r="CX56" s="311"/>
      <c r="CY56" s="311"/>
      <c r="CZ56" s="311"/>
      <c r="DA56" s="311"/>
      <c r="DB56" s="311"/>
      <c r="DC56" s="311"/>
      <c r="DD56" s="311"/>
      <c r="DE56" s="311"/>
      <c r="DF56" s="311"/>
      <c r="DG56" s="311"/>
      <c r="DH56" s="311"/>
      <c r="DI56" s="311"/>
      <c r="DJ56" s="311"/>
      <c r="DK56" s="311"/>
      <c r="DL56" s="311"/>
      <c r="DM56" s="311"/>
      <c r="DN56" s="311"/>
      <c r="DO56" s="311"/>
      <c r="DP56" s="311"/>
      <c r="DQ56" s="311"/>
      <c r="DR56" s="311"/>
      <c r="DS56" s="311"/>
      <c r="DT56" s="311"/>
      <c r="DU56" s="311"/>
      <c r="DV56" s="311"/>
      <c r="DW56" s="311"/>
      <c r="DX56" s="311"/>
    </row>
    <row r="57" spans="22:128" ht="15">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311"/>
      <c r="BT57" s="311"/>
      <c r="BU57" s="311"/>
      <c r="BV57" s="311"/>
      <c r="BW57" s="311"/>
      <c r="BX57" s="311"/>
      <c r="BY57" s="311"/>
      <c r="BZ57" s="311"/>
      <c r="CA57" s="311"/>
      <c r="CB57" s="311"/>
      <c r="CC57" s="311"/>
      <c r="CD57" s="311"/>
      <c r="CE57" s="311"/>
      <c r="CF57" s="311"/>
      <c r="CG57" s="311"/>
      <c r="CH57" s="311"/>
      <c r="CI57" s="311"/>
      <c r="CJ57" s="311"/>
      <c r="CK57" s="311"/>
      <c r="CL57" s="311"/>
      <c r="CM57" s="311"/>
      <c r="CN57" s="311"/>
      <c r="CO57" s="311"/>
      <c r="CP57" s="311"/>
      <c r="CQ57" s="311"/>
      <c r="CR57" s="311"/>
      <c r="CS57" s="311"/>
      <c r="CT57" s="311"/>
      <c r="CU57" s="311"/>
      <c r="CV57" s="311"/>
      <c r="CW57" s="311"/>
      <c r="CX57" s="311"/>
      <c r="CY57" s="311"/>
      <c r="CZ57" s="311"/>
      <c r="DA57" s="311"/>
      <c r="DB57" s="311"/>
      <c r="DC57" s="311"/>
      <c r="DD57" s="311"/>
      <c r="DE57" s="311"/>
      <c r="DF57" s="311"/>
      <c r="DG57" s="311"/>
      <c r="DH57" s="311"/>
      <c r="DI57" s="311"/>
      <c r="DJ57" s="311"/>
      <c r="DK57" s="311"/>
      <c r="DL57" s="311"/>
      <c r="DM57" s="311"/>
      <c r="DN57" s="311"/>
      <c r="DO57" s="311"/>
      <c r="DP57" s="311"/>
      <c r="DQ57" s="311"/>
      <c r="DR57" s="311"/>
      <c r="DS57" s="311"/>
      <c r="DT57" s="311"/>
      <c r="DU57" s="311"/>
      <c r="DV57" s="311"/>
      <c r="DW57" s="311"/>
      <c r="DX57" s="311"/>
    </row>
    <row r="58" spans="22:128" ht="15">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c r="AZ58" s="311"/>
      <c r="BA58" s="311"/>
      <c r="BB58" s="311"/>
      <c r="BC58" s="311"/>
      <c r="BD58" s="311"/>
      <c r="BE58" s="311"/>
      <c r="BF58" s="311"/>
      <c r="BG58" s="311"/>
      <c r="BH58" s="311"/>
      <c r="BI58" s="311"/>
      <c r="BJ58" s="311"/>
      <c r="BK58" s="311"/>
      <c r="BL58" s="311"/>
      <c r="BM58" s="311"/>
      <c r="BN58" s="311"/>
      <c r="BO58" s="311"/>
      <c r="BP58" s="311"/>
      <c r="BQ58" s="311"/>
      <c r="BR58" s="311"/>
      <c r="BS58" s="311"/>
      <c r="BT58" s="311"/>
      <c r="BU58" s="311"/>
      <c r="BV58" s="311"/>
      <c r="BW58" s="311"/>
      <c r="BX58" s="311"/>
      <c r="BY58" s="311"/>
      <c r="BZ58" s="311"/>
      <c r="CA58" s="311"/>
      <c r="CB58" s="311"/>
      <c r="CC58" s="311"/>
      <c r="CD58" s="311"/>
      <c r="CE58" s="311"/>
      <c r="CF58" s="311"/>
      <c r="CG58" s="311"/>
      <c r="CH58" s="311"/>
      <c r="CI58" s="311"/>
      <c r="CJ58" s="311"/>
      <c r="CK58" s="311"/>
      <c r="CL58" s="311"/>
      <c r="CM58" s="311"/>
      <c r="CN58" s="311"/>
      <c r="CO58" s="311"/>
      <c r="CP58" s="311"/>
      <c r="CQ58" s="311"/>
      <c r="CR58" s="311"/>
      <c r="CS58" s="311"/>
      <c r="CT58" s="311"/>
      <c r="CU58" s="311"/>
      <c r="CV58" s="311"/>
      <c r="CW58" s="311"/>
      <c r="CX58" s="311"/>
      <c r="CY58" s="311"/>
      <c r="CZ58" s="311"/>
      <c r="DA58" s="311"/>
      <c r="DB58" s="311"/>
      <c r="DC58" s="311"/>
      <c r="DD58" s="311"/>
      <c r="DE58" s="311"/>
      <c r="DF58" s="311"/>
      <c r="DG58" s="311"/>
      <c r="DH58" s="311"/>
      <c r="DI58" s="311"/>
      <c r="DJ58" s="311"/>
      <c r="DK58" s="311"/>
      <c r="DL58" s="311"/>
      <c r="DM58" s="311"/>
      <c r="DN58" s="311"/>
      <c r="DO58" s="311"/>
      <c r="DP58" s="311"/>
      <c r="DQ58" s="311"/>
      <c r="DR58" s="311"/>
      <c r="DS58" s="311"/>
      <c r="DT58" s="311"/>
      <c r="DU58" s="311"/>
      <c r="DV58" s="311"/>
      <c r="DW58" s="311"/>
      <c r="DX58" s="311"/>
    </row>
    <row r="59" spans="22:128" ht="15">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c r="BP59" s="311"/>
      <c r="BQ59" s="311"/>
      <c r="BR59" s="311"/>
      <c r="BS59" s="311"/>
      <c r="BT59" s="311"/>
      <c r="BU59" s="311"/>
      <c r="BV59" s="311"/>
      <c r="BW59" s="311"/>
      <c r="BX59" s="311"/>
      <c r="BY59" s="311"/>
      <c r="BZ59" s="311"/>
      <c r="CA59" s="311"/>
      <c r="CB59" s="311"/>
      <c r="CC59" s="311"/>
      <c r="CD59" s="311"/>
      <c r="CE59" s="311"/>
      <c r="CF59" s="311"/>
      <c r="CG59" s="311"/>
      <c r="CH59" s="311"/>
      <c r="CI59" s="311"/>
      <c r="CJ59" s="311"/>
      <c r="CK59" s="311"/>
      <c r="CL59" s="311"/>
      <c r="CM59" s="311"/>
      <c r="CN59" s="311"/>
      <c r="CO59" s="311"/>
      <c r="CP59" s="311"/>
      <c r="CQ59" s="311"/>
      <c r="CR59" s="311"/>
      <c r="CS59" s="311"/>
      <c r="CT59" s="311"/>
      <c r="CU59" s="311"/>
      <c r="CV59" s="311"/>
      <c r="CW59" s="311"/>
      <c r="CX59" s="311"/>
      <c r="CY59" s="311"/>
      <c r="CZ59" s="311"/>
      <c r="DA59" s="311"/>
      <c r="DB59" s="311"/>
      <c r="DC59" s="311"/>
      <c r="DD59" s="311"/>
      <c r="DE59" s="311"/>
      <c r="DF59" s="311"/>
      <c r="DG59" s="311"/>
      <c r="DH59" s="311"/>
      <c r="DI59" s="311"/>
      <c r="DJ59" s="311"/>
      <c r="DK59" s="311"/>
      <c r="DL59" s="311"/>
      <c r="DM59" s="311"/>
      <c r="DN59" s="311"/>
      <c r="DO59" s="311"/>
      <c r="DP59" s="311"/>
      <c r="DQ59" s="311"/>
      <c r="DR59" s="311"/>
      <c r="DS59" s="311"/>
      <c r="DT59" s="311"/>
      <c r="DU59" s="311"/>
      <c r="DV59" s="311"/>
      <c r="DW59" s="311"/>
      <c r="DX59" s="311"/>
    </row>
  </sheetData>
  <sheetProtection password="92B2" sheet="1" formatCells="0" formatColumns="0" formatRows="0"/>
  <protectedRanges>
    <protectedRange sqref="A10:A12" name="Range1_2"/>
  </protectedRanges>
  <mergeCells count="10">
    <mergeCell ref="AK27:AL27"/>
    <mergeCell ref="AK28:AL28"/>
    <mergeCell ref="AK25:AL25"/>
    <mergeCell ref="AK26:AL26"/>
    <mergeCell ref="F38:I38"/>
    <mergeCell ref="B14:I14"/>
    <mergeCell ref="B15:I20"/>
    <mergeCell ref="F23:I23"/>
    <mergeCell ref="B28:I28"/>
    <mergeCell ref="B29:I34"/>
  </mergeCells>
  <printOptions/>
  <pageMargins left="0.7" right="0.7" top="0.75" bottom="0.75" header="0.3" footer="0.3"/>
  <pageSetup horizontalDpi="600" verticalDpi="600"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RENUKA</dc:creator>
  <cp:keywords/>
  <dc:description/>
  <cp:lastModifiedBy>seshadri</cp:lastModifiedBy>
  <cp:lastPrinted>2017-02-05T02:17:03Z</cp:lastPrinted>
  <dcterms:created xsi:type="dcterms:W3CDTF">2011-11-20T13:30:43Z</dcterms:created>
  <dcterms:modified xsi:type="dcterms:W3CDTF">2017-02-05T02:58:04Z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